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75" windowWidth="11355" windowHeight="6660" tabRatio="896" activeTab="2"/>
  </bookViews>
  <sheets>
    <sheet name="Diagrama Blocos" sheetId="1" r:id="rId1"/>
    <sheet name="Cálculo-Sist.Inter." sheetId="2" r:id="rId2"/>
    <sheet name="Cálculo-Unid.Amer." sheetId="3" r:id="rId3"/>
    <sheet name="Exemplo-Sist.Inter." sheetId="4" r:id="rId4"/>
    <sheet name="Exemplo-Unid.Amer." sheetId="5" r:id="rId5"/>
  </sheets>
  <definedNames>
    <definedName name="_xlnm.Print_Area" localSheetId="1">'Cálculo-Sist.Inter.'!$A$1:$I$74</definedName>
    <definedName name="_xlnm.Print_Area" localSheetId="2">'Cálculo-Unid.Amer.'!$A$1:$I$74</definedName>
    <definedName name="_xlnm.Print_Area" localSheetId="0">'Diagrama Blocos'!$A$1:$L$72</definedName>
    <definedName name="_xlnm.Print_Area" localSheetId="3">'Exemplo-Sist.Inter.'!$A$1:$I$74</definedName>
    <definedName name="_xlnm.Print_Area" localSheetId="4">'Exemplo-Unid.Amer.'!$A$1:$I$74</definedName>
    <definedName name="Z_8A8BCB1B_6EC7_445D_B15C_2EA583CDBE76_.wvu.PrintArea" localSheetId="3" hidden="1">'Exemplo-Sist.Inter.'!$A$1:$I$61</definedName>
    <definedName name="Z_8A8BCB1B_6EC7_445D_B15C_2EA583CDBE76_.wvu.PrintArea" localSheetId="4" hidden="1">'Exemplo-Unid.Amer.'!$A$1:$I$61</definedName>
  </definedNames>
  <calcPr fullCalcOnLoad="1"/>
</workbook>
</file>

<file path=xl/sharedStrings.xml><?xml version="1.0" encoding="utf-8"?>
<sst xmlns="http://schemas.openxmlformats.org/spreadsheetml/2006/main" count="686" uniqueCount="147">
  <si>
    <t>y</t>
  </si>
  <si>
    <t>m</t>
  </si>
  <si>
    <t>De</t>
  </si>
  <si>
    <t>Di</t>
  </si>
  <si>
    <t>Np</t>
  </si>
  <si>
    <t>Dp</t>
  </si>
  <si>
    <t>T</t>
  </si>
  <si>
    <t>dn</t>
  </si>
  <si>
    <t>fn</t>
  </si>
  <si>
    <t>d2</t>
  </si>
  <si>
    <t>f2</t>
  </si>
  <si>
    <t>α</t>
  </si>
  <si>
    <t>λ</t>
  </si>
  <si>
    <t>L</t>
  </si>
  <si>
    <t>número de parafusos</t>
  </si>
  <si>
    <t>Sy</t>
  </si>
  <si>
    <t>Resultados de cálculo</t>
  </si>
  <si>
    <t>b</t>
  </si>
  <si>
    <t>N</t>
  </si>
  <si>
    <r>
      <t>b</t>
    </r>
    <r>
      <rPr>
        <vertAlign val="subscript"/>
        <sz val="8"/>
        <rFont val="Arial"/>
        <family val="2"/>
      </rPr>
      <t>0</t>
    </r>
  </si>
  <si>
    <t>Wm1</t>
  </si>
  <si>
    <t>H</t>
  </si>
  <si>
    <t>Hp</t>
  </si>
  <si>
    <t>G</t>
  </si>
  <si>
    <t>p</t>
  </si>
  <si>
    <t>Fator de Junta: Tabela 2.5.1 do APPENDIX 2 - MANDATORY ASME VIII Division 1</t>
  </si>
  <si>
    <t>Wm2</t>
  </si>
  <si>
    <t>Sb</t>
  </si>
  <si>
    <t>Sa</t>
  </si>
  <si>
    <t>Am1</t>
  </si>
  <si>
    <t>Am2</t>
  </si>
  <si>
    <t>Am</t>
  </si>
  <si>
    <t>Ab</t>
  </si>
  <si>
    <t>W1</t>
  </si>
  <si>
    <t>W2</t>
  </si>
  <si>
    <t>W</t>
  </si>
  <si>
    <t>Sj</t>
  </si>
  <si>
    <t>Cálculo de Torque em Parafusos de Flanges Pressurizados</t>
  </si>
  <si>
    <t>Características da Ligação Flangeada</t>
  </si>
  <si>
    <t>mm</t>
  </si>
  <si>
    <t>psi</t>
  </si>
  <si>
    <t>in</t>
  </si>
  <si>
    <t>lb</t>
  </si>
  <si>
    <t>kPa</t>
  </si>
  <si>
    <t>ºC</t>
  </si>
  <si>
    <t>graus</t>
  </si>
  <si>
    <t>fios/in</t>
  </si>
  <si>
    <t>rad</t>
  </si>
  <si>
    <t>lb.ft</t>
  </si>
  <si>
    <t>Informações a inserir</t>
  </si>
  <si>
    <t>Diâmetro Externo da Junta</t>
  </si>
  <si>
    <t>Diâmetro Interno da Junta</t>
  </si>
  <si>
    <t>Pressão interna de projeto</t>
  </si>
  <si>
    <t>Largura da junta conforme tabela 2-5-2 - APPENDIX 2 - ASME VIII Division 1</t>
  </si>
  <si>
    <r>
      <t>Diâmetro da reação de carga da junta: (De+Di)/2 se b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≤ 1/4in ou (De - 2b) se b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&gt; 1/4in</t>
    </r>
  </si>
  <si>
    <r>
      <t>Largura de assentamento efetiva da junta conforme tabela 2-5-2 - Appendix 2: b=b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se b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≤ 1/4in ou b = 0,5√b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se b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&gt; 1/4in</t>
    </r>
  </si>
  <si>
    <t>Largura base de assentamento da junta conforme tabela 2-5-2 - Appendix 2</t>
  </si>
  <si>
    <t>Força mínima requerida para assentamento da junta = bGy(3,14)</t>
  </si>
  <si>
    <t>Temperatura de projeto</t>
  </si>
  <si>
    <t>Tensão admissível do parafuso a quente (temperatura de projeto)</t>
  </si>
  <si>
    <t>Tensão admissível do parafuso a frio ( a 38ºC = 100 ºF)</t>
  </si>
  <si>
    <t>Área requerida de parafusos (maior valor entre Am1 e Am2)</t>
  </si>
  <si>
    <t>Força  requerida em função do diâmetro real dos parafusos = 0,5(Am+Ab)Sa</t>
  </si>
  <si>
    <t xml:space="preserve">Área requerida de parafusos nas condições projeto em função tensão admis. a quente = Wm1/Sb </t>
  </si>
  <si>
    <t>Área requerida de parafusos nas cond. assent. junta em função tensão admis. a frio = Wm2/Sa</t>
  </si>
  <si>
    <t>Área real de 1 parafuso, área da Raiz conforme tabela H1 do APP H do ASME PCC 1-2000)</t>
  </si>
  <si>
    <t>A.Real</t>
  </si>
  <si>
    <t>Área real de todos os parafusos = A.Real x Np</t>
  </si>
  <si>
    <r>
      <t>in</t>
    </r>
    <r>
      <rPr>
        <vertAlign val="superscript"/>
        <sz val="8"/>
        <rFont val="Arial"/>
        <family val="2"/>
      </rPr>
      <t>2</t>
    </r>
  </si>
  <si>
    <t>adim.</t>
  </si>
  <si>
    <t>Diâmetro nominal dos parafusos</t>
  </si>
  <si>
    <t>Ângulo de flanco da rosca: para parafusos de roscas UN e UNR é igual a 30º</t>
  </si>
  <si>
    <t>Ângulo de flanco da rosca: (α / 360) π</t>
  </si>
  <si>
    <t>Diâmetro externo da face da arruela</t>
  </si>
  <si>
    <t>Ângulo de direção da rosca: arco cuja tangente = (L/(π.d2))</t>
  </si>
  <si>
    <t>Força de esmagamento da junta: bG(Sj)(3,14)</t>
  </si>
  <si>
    <t>Tensão de esmagamento da junta (buscar em catálogos de fabricantes)</t>
  </si>
  <si>
    <t>50% da Tensão de escoamento dos parafusos = Sy x 0,5</t>
  </si>
  <si>
    <t>Coeficiente de atrito entre a rosca da porca e a rosca do parafuso. Utilizar 0,16 p/superf. sem revest.Poliamida e 0,12 p/superf.c/revestimento de Poliamida.</t>
  </si>
  <si>
    <t>Coefic.atrito entre porca (ou cabeça do parafuso) e flange (ou arruela). Utilizar 0,16 p/superf. sem revest.Poliamida e 0,12 p/superf.c/revestimento de Poliamida.</t>
  </si>
  <si>
    <t>Quantidade de fios por polegada</t>
  </si>
  <si>
    <t>Diâmetro médio da rosca (média dos diâmetros de contato da rosca externa do parafuso).          Para parafusos UN/UNR, usar o ASME B1.1.</t>
  </si>
  <si>
    <t>Passo da rosca do parafuso, por ex.: para roscas de 8 filetes p/pol, o valor será 1/8 in</t>
  </si>
  <si>
    <t>Diâmetro médio da face de aperto da porca (ou cabeça do parafuso) = média entre o diâm.ext. da face da aruela e o diâmetro nominal do parafuso.</t>
  </si>
  <si>
    <t>Tampo do Carretel do  P-2247,  Tp=260ºC, Pp=227,57 psi</t>
  </si>
  <si>
    <r>
      <t>Força de abertura dos flanges devido à pressão interna =  p(0,785.G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</si>
  <si>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(em unidades americanas)</t>
  </si>
  <si>
    <t>(em unidades do Sistema Internacional - SI)</t>
  </si>
  <si>
    <r>
      <t>Diâmetro da reação de carga da junta: (De+Di)/2 se b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≤ 6 mm ou (De - 2b) se b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&gt; 6 mm</t>
    </r>
  </si>
  <si>
    <t>kN</t>
  </si>
  <si>
    <t>Tampo do Carretel do  P-2247,  Tp=260ºC, Pp=1570 kPa</t>
  </si>
  <si>
    <r>
      <t>mm</t>
    </r>
    <r>
      <rPr>
        <vertAlign val="superscript"/>
        <sz val="8"/>
        <rFont val="Arial"/>
        <family val="2"/>
      </rPr>
      <t>2</t>
    </r>
  </si>
  <si>
    <t>Nm</t>
  </si>
  <si>
    <t>Força requerida nos parafusos: maior valor entre W1 e W2</t>
  </si>
  <si>
    <t>Equipamento</t>
  </si>
  <si>
    <t>Juntas</t>
  </si>
  <si>
    <t>Parafusos/Estojos</t>
  </si>
  <si>
    <t xml:space="preserve">1) Força de tração requerida nos parafusos para a pressão de projeto, conforme APPENDIX 2 ASME VIII Division 1                    </t>
  </si>
  <si>
    <t>Força residual a ser mantida sobre a junta = m.p(2b)G.(3,14)</t>
  </si>
  <si>
    <t xml:space="preserve">2) Força de tração requerida nos parafusos p/assentamento da junta de vedação conf. APPENDIX 2 ASME VIII Division 1: </t>
  </si>
  <si>
    <t>Tensão Mínima de Assentamento da junta: Tabela 2.5.1  APPENDIX 2 - ASME VIII Division 1</t>
  </si>
  <si>
    <t>Força mínima de aperto requerida para 1 parafuso: W / Np</t>
  </si>
  <si>
    <t>Tensão de escoamento a frio dos parafusos</t>
  </si>
  <si>
    <t xml:space="preserve"> 24 parafusos de 7/8", material A193 Gr. B7, UNC, 9 fios por polegada, com revestimento</t>
  </si>
  <si>
    <t>Junta vedação dupla camisa lisa</t>
  </si>
  <si>
    <r>
      <t>S</t>
    </r>
    <r>
      <rPr>
        <vertAlign val="subscript"/>
        <sz val="8"/>
        <rFont val="Arial"/>
        <family val="2"/>
      </rPr>
      <t>yop</t>
    </r>
  </si>
  <si>
    <r>
      <t>F</t>
    </r>
    <r>
      <rPr>
        <vertAlign val="subscript"/>
        <sz val="8"/>
        <rFont val="Arial"/>
        <family val="2"/>
      </rPr>
      <t>yop</t>
    </r>
  </si>
  <si>
    <r>
      <t>Largura de assentamento efetiva da junta conforme tabela 2-5-2 - Appendix 2:     b=b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se b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≤ 6 mm ou b = 0,5√b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se b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&gt; 6 mm</t>
    </r>
  </si>
  <si>
    <r>
      <t>Força mínima requerida para a vedação na pressão de projeto =  H + H</t>
    </r>
    <r>
      <rPr>
        <vertAlign val="subscript"/>
        <sz val="8"/>
        <rFont val="Arial"/>
        <family val="2"/>
      </rPr>
      <t>p</t>
    </r>
  </si>
  <si>
    <t>3) Força mínima de aperto requerida nos parafusos conf.APPENDIX 2 ASME VIII Division 1 a ser mantida nas condições de projeto</t>
  </si>
  <si>
    <t>3) Força mínima de aperto requerida nos parafusos conf.APPENDIX 2 ASME VIII Division 1 a ser mantida nas cond. de projeto</t>
  </si>
  <si>
    <r>
      <t>F</t>
    </r>
    <r>
      <rPr>
        <vertAlign val="subscript"/>
        <sz val="8"/>
        <rFont val="Arial"/>
        <family val="2"/>
      </rPr>
      <t>O</t>
    </r>
  </si>
  <si>
    <t>Área real de 1 parafuso, área da Raiz conforme tabela H1 do APP H do ASME PPC 1-2000)</t>
  </si>
  <si>
    <r>
      <t>Força de aperto de 1 parafuso com a tensão de escoamento: S</t>
    </r>
    <r>
      <rPr>
        <vertAlign val="subscript"/>
        <sz val="8"/>
        <rFont val="Arial"/>
        <family val="2"/>
      </rPr>
      <t>yop</t>
    </r>
    <r>
      <rPr>
        <sz val="8"/>
        <rFont val="Arial"/>
        <family val="2"/>
      </rPr>
      <t xml:space="preserve"> x A.Real</t>
    </r>
  </si>
  <si>
    <t>Tensão de escoamento dos parafusos na temperatura de projeto</t>
  </si>
  <si>
    <r>
      <t>F</t>
    </r>
    <r>
      <rPr>
        <vertAlign val="subscript"/>
        <sz val="8"/>
        <rFont val="Arial"/>
        <family val="2"/>
      </rPr>
      <t>w</t>
    </r>
  </si>
  <si>
    <t>J</t>
  </si>
  <si>
    <r>
      <t>F</t>
    </r>
    <r>
      <rPr>
        <vertAlign val="subscript"/>
        <sz val="8"/>
        <rFont val="Arial"/>
        <family val="2"/>
      </rPr>
      <t>j</t>
    </r>
  </si>
  <si>
    <t>Força de esmagamento da junta por parafuso: J / Np</t>
  </si>
  <si>
    <t xml:space="preserve">4) Força correspondente ao esmagamento da junta de vedação </t>
  </si>
  <si>
    <r>
      <t>F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>&lt; F</t>
    </r>
    <r>
      <rPr>
        <vertAlign val="subscript"/>
        <sz val="8"/>
        <rFont val="Arial"/>
        <family val="2"/>
      </rPr>
      <t xml:space="preserve">j </t>
    </r>
    <r>
      <rPr>
        <sz val="8"/>
        <rFont val="Arial"/>
        <family val="2"/>
      </rPr>
      <t>?</t>
    </r>
  </si>
  <si>
    <t>5) Verificação se a força mínima de aperto requerida nos parafusos conf.APPENDIX 2 ASME VIII Division 1 a ser mantida nas condições de projeto é menor do que a força correspondente ao esmagamento da junta de vedação</t>
  </si>
  <si>
    <t>6) Força para aperto de parafusos com base em 50% da tensão de escoamento a frio</t>
  </si>
  <si>
    <r>
      <t>F</t>
    </r>
    <r>
      <rPr>
        <vertAlign val="subscript"/>
        <sz val="8"/>
        <rFont val="Arial"/>
        <family val="2"/>
      </rPr>
      <t>y50%</t>
    </r>
  </si>
  <si>
    <t>7) Verificação se a força com base em 50% da tensão de escoamento a frio é menor do que a força correspondente ao esmagamento da junta de vedação</t>
  </si>
  <si>
    <t>8) Força nos parafusos com base na tensão de escoamento na temperatura de projeto</t>
  </si>
  <si>
    <t>9) Verificação se a força com base em 50% da tensão de escoamento a frio é menor do que a força com base na tensão de escoamento na temperatura de projeto</t>
  </si>
  <si>
    <t>10) Força no parafuso, em operação, resultante da pressão interna mais a tensão de aperto c/ base em 50% da tensão de escoamento a frio</t>
  </si>
  <si>
    <t>11) Verificação se a força no parafuso, em operação, resultante da pressão interna mais a tensão de aperto c/ base em 50% da tensão de escoamento a frio é menor do que a força na tensão de escoamento na temperatura de projeto</t>
  </si>
  <si>
    <r>
      <t>F</t>
    </r>
    <r>
      <rPr>
        <vertAlign val="subscript"/>
        <sz val="8"/>
        <rFont val="Arial"/>
        <family val="2"/>
      </rPr>
      <t>pi</t>
    </r>
  </si>
  <si>
    <t>Força de aperto de 1 paraf. em função da pressão interna = (πG2/4)*p / Np)</t>
  </si>
  <si>
    <r>
      <t>Força em oper.em 1 paraf. result. pres.interna + tensão a 50% do escoam.= F</t>
    </r>
    <r>
      <rPr>
        <vertAlign val="subscript"/>
        <sz val="8"/>
        <rFont val="Arial"/>
        <family val="2"/>
      </rPr>
      <t>pi</t>
    </r>
    <r>
      <rPr>
        <sz val="8"/>
        <rFont val="Arial"/>
        <family val="2"/>
      </rPr>
      <t>+ F</t>
    </r>
    <r>
      <rPr>
        <vertAlign val="subscript"/>
        <sz val="8"/>
        <rFont val="Arial"/>
        <family val="2"/>
      </rPr>
      <t>y50%</t>
    </r>
  </si>
  <si>
    <t>12) Verificação final para confirmar que o valor a ser adotado será maior do que a força mínima de aperto requerida nos parafusos conf. APPENDIX 2 ASME VIII Division 1 nas condições de projeto</t>
  </si>
  <si>
    <t>F = valor a ser adotado:</t>
  </si>
  <si>
    <t xml:space="preserve">   13) Cálculo do torque para a força requerida "F" conforme ASME PPC-1-2000</t>
  </si>
  <si>
    <r>
      <t>F</t>
    </r>
    <r>
      <rPr>
        <vertAlign val="subscript"/>
        <sz val="8"/>
        <rFont val="Arial"/>
        <family val="2"/>
      </rPr>
      <t>y50%</t>
    </r>
    <r>
      <rPr>
        <sz val="8"/>
        <rFont val="Arial"/>
        <family val="2"/>
      </rPr>
      <t xml:space="preserve"> &lt; F</t>
    </r>
    <r>
      <rPr>
        <vertAlign val="subscript"/>
        <sz val="8"/>
        <rFont val="Arial"/>
        <family val="2"/>
      </rPr>
      <t>j</t>
    </r>
    <r>
      <rPr>
        <sz val="8"/>
        <rFont val="Arial"/>
        <family val="2"/>
      </rPr>
      <t xml:space="preserve"> ?</t>
    </r>
  </si>
  <si>
    <r>
      <t>F</t>
    </r>
    <r>
      <rPr>
        <vertAlign val="subscript"/>
        <sz val="8"/>
        <rFont val="Arial"/>
        <family val="2"/>
      </rPr>
      <t xml:space="preserve">y50% </t>
    </r>
    <r>
      <rPr>
        <sz val="8"/>
        <rFont val="Arial"/>
        <family val="2"/>
      </rPr>
      <t>&lt; F</t>
    </r>
    <r>
      <rPr>
        <vertAlign val="subscript"/>
        <sz val="8"/>
        <rFont val="Arial"/>
        <family val="2"/>
      </rPr>
      <t xml:space="preserve">yop </t>
    </r>
    <r>
      <rPr>
        <sz val="8"/>
        <rFont val="Arial"/>
        <family val="2"/>
      </rPr>
      <t>?</t>
    </r>
  </si>
  <si>
    <r>
      <t>F</t>
    </r>
    <r>
      <rPr>
        <vertAlign val="subscript"/>
        <sz val="8"/>
        <rFont val="Arial"/>
        <family val="2"/>
      </rPr>
      <t xml:space="preserve">O </t>
    </r>
    <r>
      <rPr>
        <sz val="8"/>
        <rFont val="Arial"/>
        <family val="2"/>
      </rPr>
      <t>&lt; F</t>
    </r>
    <r>
      <rPr>
        <vertAlign val="subscript"/>
        <sz val="8"/>
        <rFont val="Arial"/>
        <family val="2"/>
      </rPr>
      <t xml:space="preserve">yop </t>
    </r>
    <r>
      <rPr>
        <sz val="8"/>
        <rFont val="Arial"/>
        <family val="2"/>
      </rPr>
      <t>?</t>
    </r>
  </si>
  <si>
    <r>
      <t>F  &gt; F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 xml:space="preserve"> ?</t>
    </r>
  </si>
  <si>
    <t xml:space="preserve">J </t>
  </si>
  <si>
    <r>
      <t>S</t>
    </r>
    <r>
      <rPr>
        <vertAlign val="subscript"/>
        <sz val="8"/>
        <rFont val="Arial"/>
        <family val="2"/>
      </rPr>
      <t>y50%</t>
    </r>
  </si>
  <si>
    <r>
      <t>Força de aperto de 1 parafuso: S</t>
    </r>
    <r>
      <rPr>
        <vertAlign val="subscript"/>
        <sz val="8"/>
        <rFont val="Arial"/>
        <family val="2"/>
      </rPr>
      <t xml:space="preserve">y50% </t>
    </r>
    <r>
      <rPr>
        <sz val="8"/>
        <rFont val="Arial"/>
        <family val="2"/>
      </rPr>
      <t>x A.Real</t>
    </r>
  </si>
  <si>
    <r>
      <t>Força de aperto de 1 paraf. em função da pressão interna = (πG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/4)*p / Np)</t>
    </r>
  </si>
  <si>
    <r>
      <t>α</t>
    </r>
    <r>
      <rPr>
        <vertAlign val="subscript"/>
        <sz val="8"/>
        <rFont val="Arial"/>
        <family val="2"/>
      </rPr>
      <t>rad</t>
    </r>
  </si>
  <si>
    <r>
      <t>α</t>
    </r>
    <r>
      <rPr>
        <vertAlign val="subscript"/>
        <sz val="8"/>
        <rFont val="Arial"/>
        <family val="2"/>
      </rPr>
      <t>graus</t>
    </r>
  </si>
  <si>
    <t>Torque = F/2* ((dn * fn) + d2* ((f2 + (cos α * tan λ)) / (cos α - (f2 * tan λ))))</t>
  </si>
  <si>
    <t>Torque = F/2 * ((dn * fn) + d2 * ((f2 + (cos α * tan λ)) / (cos α - (f2*tan λ)))) / 12 in/ft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</si>
</sst>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"/>
    <numFmt numFmtId="178" formatCode="[$-416]dddd\,\ d&quot; de &quot;mmmm&quot; de &quot;yyyy"/>
    <numFmt numFmtId="179" formatCode=";;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sz val="8"/>
      <name val="Tahoma"/>
      <family val="2"/>
    </font>
    <font>
      <b/>
      <i/>
      <vertAlign val="superscript"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2" fontId="4" fillId="34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172" fontId="4" fillId="34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34" borderId="14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2" fontId="4" fillId="35" borderId="19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4" fontId="4" fillId="35" borderId="19" xfId="0" applyNumberFormat="1" applyFont="1" applyFill="1" applyBorder="1" applyAlignment="1">
      <alignment horizontal="center"/>
    </xf>
    <xf numFmtId="0" fontId="4" fillId="36" borderId="14" xfId="0" applyFont="1" applyFill="1" applyBorder="1" applyAlignment="1" applyProtection="1">
      <alignment horizontal="center"/>
      <protection locked="0"/>
    </xf>
    <xf numFmtId="3" fontId="4" fillId="36" borderId="14" xfId="0" applyNumberFormat="1" applyFont="1" applyFill="1" applyBorder="1" applyAlignment="1" applyProtection="1">
      <alignment horizontal="center"/>
      <protection locked="0"/>
    </xf>
    <xf numFmtId="3" fontId="4" fillId="36" borderId="10" xfId="0" applyNumberFormat="1" applyFont="1" applyFill="1" applyBorder="1" applyAlignment="1" applyProtection="1">
      <alignment horizontal="center"/>
      <protection locked="0"/>
    </xf>
    <xf numFmtId="0" fontId="4" fillId="36" borderId="10" xfId="0" applyFont="1" applyFill="1" applyBorder="1" applyAlignment="1" applyProtection="1">
      <alignment horizontal="center"/>
      <protection locked="0"/>
    </xf>
    <xf numFmtId="2" fontId="4" fillId="36" borderId="10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 wrapText="1"/>
    </xf>
    <xf numFmtId="179" fontId="1" fillId="0" borderId="0" xfId="0" applyNumberFormat="1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179" fontId="1" fillId="0" borderId="0" xfId="0" applyNumberFormat="1" applyFont="1" applyAlignment="1">
      <alignment/>
    </xf>
    <xf numFmtId="2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4" borderId="10" xfId="0" applyNumberFormat="1" applyFont="1" applyFill="1" applyBorder="1" applyAlignment="1" applyProtection="1">
      <alignment horizontal="center" vertical="center"/>
      <protection/>
    </xf>
    <xf numFmtId="177" fontId="4" fillId="36" borderId="10" xfId="0" applyNumberFormat="1" applyFont="1" applyFill="1" applyBorder="1" applyAlignment="1" applyProtection="1">
      <alignment horizontal="center"/>
      <protection locked="0"/>
    </xf>
    <xf numFmtId="172" fontId="4" fillId="36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 applyProtection="1">
      <alignment horizontal="center"/>
      <protection/>
    </xf>
    <xf numFmtId="1" fontId="4" fillId="36" borderId="10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 horizontal="center"/>
      <protection/>
    </xf>
    <xf numFmtId="3" fontId="4" fillId="36" borderId="10" xfId="0" applyNumberFormat="1" applyFont="1" applyFill="1" applyBorder="1" applyAlignment="1" applyProtection="1">
      <alignment horizontal="center" vertical="center"/>
      <protection/>
    </xf>
    <xf numFmtId="2" fontId="4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3" fontId="4" fillId="36" borderId="14" xfId="0" applyNumberFormat="1" applyFont="1" applyFill="1" applyBorder="1" applyAlignment="1" applyProtection="1">
      <alignment horizontal="center"/>
      <protection/>
    </xf>
    <xf numFmtId="3" fontId="4" fillId="36" borderId="10" xfId="0" applyNumberFormat="1" applyFont="1" applyFill="1" applyBorder="1" applyAlignment="1" applyProtection="1">
      <alignment horizontal="center"/>
      <protection/>
    </xf>
    <xf numFmtId="0" fontId="4" fillId="36" borderId="10" xfId="0" applyFont="1" applyFill="1" applyBorder="1" applyAlignment="1" applyProtection="1">
      <alignment horizontal="center"/>
      <protection/>
    </xf>
    <xf numFmtId="2" fontId="4" fillId="36" borderId="10" xfId="0" applyNumberFormat="1" applyFont="1" applyFill="1" applyBorder="1" applyAlignment="1" applyProtection="1">
      <alignment horizontal="center"/>
      <protection/>
    </xf>
    <xf numFmtId="4" fontId="4" fillId="34" borderId="14" xfId="0" applyNumberFormat="1" applyFont="1" applyFill="1" applyBorder="1" applyAlignment="1" applyProtection="1">
      <alignment horizontal="center" vertical="center"/>
      <protection/>
    </xf>
    <xf numFmtId="3" fontId="4" fillId="34" borderId="14" xfId="0" applyNumberFormat="1" applyFont="1" applyFill="1" applyBorder="1" applyAlignment="1" applyProtection="1">
      <alignment horizontal="center" vertical="center"/>
      <protection/>
    </xf>
    <xf numFmtId="12" fontId="4" fillId="36" borderId="10" xfId="0" applyNumberFormat="1" applyFont="1" applyFill="1" applyBorder="1" applyAlignment="1" applyProtection="1">
      <alignment horizontal="center"/>
      <protection/>
    </xf>
    <xf numFmtId="172" fontId="4" fillId="34" borderId="14" xfId="0" applyNumberFormat="1" applyFont="1" applyFill="1" applyBorder="1" applyAlignment="1" applyProtection="1">
      <alignment horizontal="center"/>
      <protection/>
    </xf>
    <xf numFmtId="2" fontId="4" fillId="36" borderId="14" xfId="0" applyNumberFormat="1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2" fontId="4" fillId="36" borderId="10" xfId="0" applyNumberFormat="1" applyFont="1" applyFill="1" applyBorder="1" applyAlignment="1" applyProtection="1">
      <alignment horizontal="center" vertical="center"/>
      <protection/>
    </xf>
    <xf numFmtId="177" fontId="4" fillId="36" borderId="10" xfId="0" applyNumberFormat="1" applyFont="1" applyFill="1" applyBorder="1" applyAlignment="1" applyProtection="1">
      <alignment horizontal="center"/>
      <protection/>
    </xf>
    <xf numFmtId="179" fontId="1" fillId="0" borderId="0" xfId="0" applyNumberFormat="1" applyFont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72" fontId="4" fillId="36" borderId="14" xfId="0" applyNumberFormat="1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2" fontId="4" fillId="35" borderId="19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37" borderId="23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4" fontId="4" fillId="34" borderId="14" xfId="0" applyNumberFormat="1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 applyProtection="1">
      <alignment horizontal="center"/>
      <protection locked="0"/>
    </xf>
    <xf numFmtId="3" fontId="4" fillId="36" borderId="10" xfId="0" applyNumberFormat="1" applyFont="1" applyFill="1" applyBorder="1" applyAlignment="1" applyProtection="1">
      <alignment horizontal="center" vertical="center"/>
      <protection locked="0"/>
    </xf>
    <xf numFmtId="12" fontId="4" fillId="36" borderId="10" xfId="0" applyNumberFormat="1" applyFont="1" applyFill="1" applyBorder="1" applyAlignment="1" applyProtection="1">
      <alignment horizontal="center"/>
      <protection locked="0"/>
    </xf>
    <xf numFmtId="2" fontId="4" fillId="36" borderId="14" xfId="0" applyNumberFormat="1" applyFont="1" applyFill="1" applyBorder="1" applyAlignment="1" applyProtection="1">
      <alignment horizontal="center"/>
      <protection locked="0"/>
    </xf>
    <xf numFmtId="4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8" fillId="0" borderId="2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12" fillId="33" borderId="29" xfId="0" applyFont="1" applyFill="1" applyBorder="1" applyAlignment="1">
      <alignment wrapText="1"/>
    </xf>
    <xf numFmtId="0" fontId="12" fillId="33" borderId="30" xfId="0" applyFont="1" applyFill="1" applyBorder="1" applyAlignment="1">
      <alignment wrapText="1"/>
    </xf>
    <xf numFmtId="0" fontId="12" fillId="33" borderId="31" xfId="0" applyFont="1" applyFill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2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8" fillId="0" borderId="28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left" vertical="center" wrapText="1"/>
    </xf>
    <xf numFmtId="4" fontId="4" fillId="34" borderId="16" xfId="0" applyNumberFormat="1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left" vertical="center"/>
    </xf>
    <xf numFmtId="4" fontId="4" fillId="34" borderId="11" xfId="0" applyNumberFormat="1" applyFont="1" applyFill="1" applyBorder="1" applyAlignment="1">
      <alignment horizontal="left" vertical="center"/>
    </xf>
    <xf numFmtId="4" fontId="4" fillId="34" borderId="16" xfId="0" applyNumberFormat="1" applyFont="1" applyFill="1" applyBorder="1" applyAlignment="1">
      <alignment horizontal="left" vertical="center"/>
    </xf>
    <xf numFmtId="0" fontId="1" fillId="33" borderId="14" xfId="0" applyFont="1" applyFill="1" applyBorder="1" applyAlignment="1">
      <alignment wrapText="1"/>
    </xf>
    <xf numFmtId="0" fontId="1" fillId="33" borderId="33" xfId="0" applyFont="1" applyFill="1" applyBorder="1" applyAlignment="1">
      <alignment wrapText="1"/>
    </xf>
    <xf numFmtId="0" fontId="1" fillId="33" borderId="14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 horizontal="center"/>
    </xf>
    <xf numFmtId="0" fontId="5" fillId="36" borderId="36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9" fillId="33" borderId="37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2" fontId="4" fillId="36" borderId="14" xfId="0" applyNumberFormat="1" applyFont="1" applyFill="1" applyBorder="1" applyAlignment="1" applyProtection="1">
      <alignment horizontal="left"/>
      <protection locked="0"/>
    </xf>
    <xf numFmtId="2" fontId="4" fillId="36" borderId="33" xfId="0" applyNumberFormat="1" applyFont="1" applyFill="1" applyBorder="1" applyAlignment="1" applyProtection="1">
      <alignment horizontal="left"/>
      <protection locked="0"/>
    </xf>
    <xf numFmtId="0" fontId="1" fillId="33" borderId="29" xfId="0" applyFont="1" applyFill="1" applyBorder="1" applyAlignment="1">
      <alignment wrapText="1"/>
    </xf>
    <xf numFmtId="0" fontId="1" fillId="33" borderId="30" xfId="0" applyFont="1" applyFill="1" applyBorder="1" applyAlignment="1">
      <alignment wrapText="1"/>
    </xf>
    <xf numFmtId="0" fontId="1" fillId="33" borderId="31" xfId="0" applyFont="1" applyFill="1" applyBorder="1" applyAlignment="1">
      <alignment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 applyProtection="1">
      <alignment horizontal="left"/>
      <protection/>
    </xf>
    <xf numFmtId="2" fontId="4" fillId="36" borderId="33" xfId="0" applyNumberFormat="1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wrapText="1"/>
      <protection/>
    </xf>
    <xf numFmtId="0" fontId="1" fillId="33" borderId="33" xfId="0" applyFont="1" applyFill="1" applyBorder="1" applyAlignment="1" applyProtection="1">
      <alignment wrapText="1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33" xfId="0" applyFont="1" applyFill="1" applyBorder="1" applyAlignment="1" applyProtection="1">
      <alignment horizontal="left"/>
      <protection/>
    </xf>
    <xf numFmtId="4" fontId="4" fillId="34" borderId="10" xfId="0" applyNumberFormat="1" applyFont="1" applyFill="1" applyBorder="1" applyAlignment="1" applyProtection="1">
      <alignment horizontal="left" vertical="center"/>
      <protection/>
    </xf>
    <xf numFmtId="4" fontId="4" fillId="34" borderId="11" xfId="0" applyNumberFormat="1" applyFont="1" applyFill="1" applyBorder="1" applyAlignment="1" applyProtection="1">
      <alignment horizontal="left" vertical="center"/>
      <protection/>
    </xf>
    <xf numFmtId="4" fontId="4" fillId="34" borderId="16" xfId="0" applyNumberFormat="1" applyFont="1" applyFill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wrapText="1"/>
      <protection/>
    </xf>
    <xf numFmtId="0" fontId="1" fillId="33" borderId="11" xfId="0" applyFont="1" applyFill="1" applyBorder="1" applyAlignment="1" applyProtection="1">
      <alignment wrapText="1"/>
      <protection/>
    </xf>
    <xf numFmtId="0" fontId="1" fillId="33" borderId="16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1" fillId="33" borderId="28" xfId="0" applyFont="1" applyFill="1" applyBorder="1" applyAlignment="1" applyProtection="1">
      <alignment horizontal="left" vertical="center" wrapText="1"/>
      <protection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0" fontId="5" fillId="36" borderId="35" xfId="0" applyFont="1" applyFill="1" applyBorder="1" applyAlignment="1" applyProtection="1">
      <alignment horizontal="center"/>
      <protection/>
    </xf>
    <xf numFmtId="0" fontId="5" fillId="36" borderId="36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33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9" fillId="33" borderId="26" xfId="0" applyFont="1" applyFill="1" applyBorder="1" applyAlignment="1" applyProtection="1">
      <alignment horizontal="center" vertical="center" wrapText="1"/>
      <protection/>
    </xf>
    <xf numFmtId="0" fontId="9" fillId="33" borderId="27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34" xfId="0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3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1" fillId="33" borderId="28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32" xfId="0" applyFont="1" applyFill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4" fontId="4" fillId="34" borderId="10" xfId="0" applyNumberFormat="1" applyFont="1" applyFill="1" applyBorder="1" applyAlignment="1" applyProtection="1">
      <alignment horizontal="left" vertical="center" wrapText="1"/>
      <protection/>
    </xf>
    <xf numFmtId="4" fontId="4" fillId="34" borderId="11" xfId="0" applyNumberFormat="1" applyFont="1" applyFill="1" applyBorder="1" applyAlignment="1" applyProtection="1">
      <alignment horizontal="left" vertical="center" wrapText="1"/>
      <protection/>
    </xf>
    <xf numFmtId="4" fontId="4" fillId="34" borderId="16" xfId="0" applyNumberFormat="1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/>
      <protection/>
    </xf>
    <xf numFmtId="0" fontId="1" fillId="33" borderId="16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vertical="top" wrapText="1"/>
      <protection/>
    </xf>
    <xf numFmtId="0" fontId="1" fillId="33" borderId="11" xfId="0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 applyProtection="1">
      <alignment vertical="top" wrapText="1"/>
      <protection/>
    </xf>
    <xf numFmtId="0" fontId="1" fillId="33" borderId="29" xfId="0" applyFont="1" applyFill="1" applyBorder="1" applyAlignment="1" applyProtection="1">
      <alignment wrapText="1"/>
      <protection/>
    </xf>
    <xf numFmtId="0" fontId="1" fillId="33" borderId="30" xfId="0" applyFont="1" applyFill="1" applyBorder="1" applyAlignment="1" applyProtection="1">
      <alignment wrapText="1"/>
      <protection/>
    </xf>
    <xf numFmtId="0" fontId="1" fillId="33" borderId="31" xfId="0" applyFont="1" applyFill="1" applyBorder="1" applyAlignment="1" applyProtection="1">
      <alignment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238125</xdr:colOff>
      <xdr:row>2</xdr:row>
      <xdr:rowOff>123825</xdr:rowOff>
    </xdr:from>
    <xdr:to>
      <xdr:col>4</xdr:col>
      <xdr:colOff>533400</xdr:colOff>
      <xdr:row>7</xdr:row>
      <xdr:rowOff>28575</xdr:rowOff>
    </xdr:to>
    <xdr:sp>
      <xdr:nvSpPr>
        <xdr:cNvPr id="1" name="Rectangle 3"/>
        <xdr:cNvSpPr>
          <a:spLocks/>
        </xdr:cNvSpPr>
      </xdr:nvSpPr>
      <xdr:spPr>
        <a:xfrm>
          <a:off x="609600" y="447675"/>
          <a:ext cx="2124075" cy="7143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Cálculo da força mínima requerida nos parafusos para as condições de projeto conforme o ASME VIII Divisão 1 - Apêndice 2  (F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 editAs="absolute">
    <xdr:from>
      <xdr:col>1</xdr:col>
      <xdr:colOff>247650</xdr:colOff>
      <xdr:row>8</xdr:row>
      <xdr:rowOff>95250</xdr:rowOff>
    </xdr:from>
    <xdr:to>
      <xdr:col>4</xdr:col>
      <xdr:colOff>542925</xdr:colOff>
      <xdr:row>11</xdr:row>
      <xdr:rowOff>9525</xdr:rowOff>
    </xdr:to>
    <xdr:sp>
      <xdr:nvSpPr>
        <xdr:cNvPr id="2" name="AutoShape 7"/>
        <xdr:cNvSpPr>
          <a:spLocks/>
        </xdr:cNvSpPr>
      </xdr:nvSpPr>
      <xdr:spPr>
        <a:xfrm>
          <a:off x="619125" y="1390650"/>
          <a:ext cx="2124075" cy="400050"/>
        </a:xfrm>
        <a:prstGeom prst="flowChartProcess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Cálculo da força de esmagamento da junta de vedação (Fj)</a:t>
          </a:r>
        </a:p>
      </xdr:txBody>
    </xdr:sp>
    <xdr:clientData/>
  </xdr:twoCellAnchor>
  <xdr:twoCellAnchor editAs="absolute">
    <xdr:from>
      <xdr:col>3</xdr:col>
      <xdr:colOff>85725</xdr:colOff>
      <xdr:row>7</xdr:row>
      <xdr:rowOff>47625</xdr:rowOff>
    </xdr:from>
    <xdr:to>
      <xdr:col>3</xdr:col>
      <xdr:colOff>95250</xdr:colOff>
      <xdr:row>8</xdr:row>
      <xdr:rowOff>76200</xdr:rowOff>
    </xdr:to>
    <xdr:sp>
      <xdr:nvSpPr>
        <xdr:cNvPr id="3" name="AutoShape 8"/>
        <xdr:cNvSpPr>
          <a:spLocks/>
        </xdr:cNvSpPr>
      </xdr:nvSpPr>
      <xdr:spPr>
        <a:xfrm>
          <a:off x="1676400" y="1181100"/>
          <a:ext cx="9525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257175</xdr:colOff>
      <xdr:row>12</xdr:row>
      <xdr:rowOff>38100</xdr:rowOff>
    </xdr:from>
    <xdr:to>
      <xdr:col>4</xdr:col>
      <xdr:colOff>533400</xdr:colOff>
      <xdr:row>16</xdr:row>
      <xdr:rowOff>47625</xdr:rowOff>
    </xdr:to>
    <xdr:sp>
      <xdr:nvSpPr>
        <xdr:cNvPr id="4" name="AutoShape 10"/>
        <xdr:cNvSpPr>
          <a:spLocks/>
        </xdr:cNvSpPr>
      </xdr:nvSpPr>
      <xdr:spPr>
        <a:xfrm>
          <a:off x="628650" y="1981200"/>
          <a:ext cx="2105025" cy="657225"/>
        </a:xfrm>
        <a:prstGeom prst="flowChartDecision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Fw &lt; Fj ?</a:t>
          </a:r>
        </a:p>
      </xdr:txBody>
    </xdr:sp>
    <xdr:clientData/>
  </xdr:twoCellAnchor>
  <xdr:twoCellAnchor editAs="absolute">
    <xdr:from>
      <xdr:col>8</xdr:col>
      <xdr:colOff>95250</xdr:colOff>
      <xdr:row>13</xdr:row>
      <xdr:rowOff>28575</xdr:rowOff>
    </xdr:from>
    <xdr:to>
      <xdr:col>11</xdr:col>
      <xdr:colOff>390525</xdr:colOff>
      <xdr:row>15</xdr:row>
      <xdr:rowOff>66675</xdr:rowOff>
    </xdr:to>
    <xdr:sp>
      <xdr:nvSpPr>
        <xdr:cNvPr id="5" name="AutoShape 11"/>
        <xdr:cNvSpPr>
          <a:spLocks/>
        </xdr:cNvSpPr>
      </xdr:nvSpPr>
      <xdr:spPr>
        <a:xfrm>
          <a:off x="4733925" y="2133600"/>
          <a:ext cx="2124075" cy="361950"/>
        </a:xfrm>
        <a:prstGeom prst="flowChartProcess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Reanálise </a:t>
          </a:r>
        </a:p>
      </xdr:txBody>
    </xdr:sp>
    <xdr:clientData/>
  </xdr:twoCellAnchor>
  <xdr:twoCellAnchor editAs="absolute">
    <xdr:from>
      <xdr:col>1</xdr:col>
      <xdr:colOff>247650</xdr:colOff>
      <xdr:row>18</xdr:row>
      <xdr:rowOff>47625</xdr:rowOff>
    </xdr:from>
    <xdr:to>
      <xdr:col>4</xdr:col>
      <xdr:colOff>542925</xdr:colOff>
      <xdr:row>21</xdr:row>
      <xdr:rowOff>95250</xdr:rowOff>
    </xdr:to>
    <xdr:sp>
      <xdr:nvSpPr>
        <xdr:cNvPr id="6" name="AutoShape 12"/>
        <xdr:cNvSpPr>
          <a:spLocks/>
        </xdr:cNvSpPr>
      </xdr:nvSpPr>
      <xdr:spPr>
        <a:xfrm>
          <a:off x="619125" y="2962275"/>
          <a:ext cx="2124075" cy="533400"/>
        </a:xfrm>
        <a:prstGeom prst="flowChartProcess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Cálculo da força nos parafusos com base na tensão de 50% da tensão de escoamento a frio (F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y50%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 editAs="absolute">
    <xdr:from>
      <xdr:col>3</xdr:col>
      <xdr:colOff>95250</xdr:colOff>
      <xdr:row>11</xdr:row>
      <xdr:rowOff>28575</xdr:rowOff>
    </xdr:from>
    <xdr:to>
      <xdr:col>3</xdr:col>
      <xdr:colOff>95250</xdr:colOff>
      <xdr:row>12</xdr:row>
      <xdr:rowOff>38100</xdr:rowOff>
    </xdr:to>
    <xdr:sp>
      <xdr:nvSpPr>
        <xdr:cNvPr id="7" name="AutoShape 13"/>
        <xdr:cNvSpPr>
          <a:spLocks/>
        </xdr:cNvSpPr>
      </xdr:nvSpPr>
      <xdr:spPr>
        <a:xfrm>
          <a:off x="1685925" y="1809750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95250</xdr:colOff>
      <xdr:row>16</xdr:row>
      <xdr:rowOff>47625</xdr:rowOff>
    </xdr:from>
    <xdr:to>
      <xdr:col>3</xdr:col>
      <xdr:colOff>95250</xdr:colOff>
      <xdr:row>18</xdr:row>
      <xdr:rowOff>28575</xdr:rowOff>
    </xdr:to>
    <xdr:sp>
      <xdr:nvSpPr>
        <xdr:cNvPr id="8" name="AutoShape 14"/>
        <xdr:cNvSpPr>
          <a:spLocks/>
        </xdr:cNvSpPr>
      </xdr:nvSpPr>
      <xdr:spPr>
        <a:xfrm>
          <a:off x="1685925" y="2638425"/>
          <a:ext cx="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533400</xdr:colOff>
      <xdr:row>14</xdr:row>
      <xdr:rowOff>47625</xdr:rowOff>
    </xdr:from>
    <xdr:to>
      <xdr:col>8</xdr:col>
      <xdr:colOff>76200</xdr:colOff>
      <xdr:row>14</xdr:row>
      <xdr:rowOff>47625</xdr:rowOff>
    </xdr:to>
    <xdr:sp>
      <xdr:nvSpPr>
        <xdr:cNvPr id="9" name="AutoShape 15"/>
        <xdr:cNvSpPr>
          <a:spLocks/>
        </xdr:cNvSpPr>
      </xdr:nvSpPr>
      <xdr:spPr>
        <a:xfrm>
          <a:off x="2733675" y="23145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0</xdr:colOff>
      <xdr:row>12</xdr:row>
      <xdr:rowOff>133350</xdr:rowOff>
    </xdr:from>
    <xdr:to>
      <xdr:col>5</xdr:col>
      <xdr:colOff>323850</xdr:colOff>
      <xdr:row>13</xdr:row>
      <xdr:rowOff>152400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2809875" y="2076450"/>
          <a:ext cx="323850" cy="1809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</a:t>
          </a:r>
        </a:p>
      </xdr:txBody>
    </xdr:sp>
    <xdr:clientData/>
  </xdr:twoCellAnchor>
  <xdr:twoCellAnchor editAs="absolute">
    <xdr:from>
      <xdr:col>3</xdr:col>
      <xdr:colOff>161925</xdr:colOff>
      <xdr:row>16</xdr:row>
      <xdr:rowOff>114300</xdr:rowOff>
    </xdr:from>
    <xdr:to>
      <xdr:col>3</xdr:col>
      <xdr:colOff>438150</xdr:colOff>
      <xdr:row>17</xdr:row>
      <xdr:rowOff>142875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1752600" y="2705100"/>
          <a:ext cx="276225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</a:t>
          </a:r>
        </a:p>
      </xdr:txBody>
    </xdr:sp>
    <xdr:clientData/>
  </xdr:twoCellAnchor>
  <xdr:twoCellAnchor editAs="absolute">
    <xdr:from>
      <xdr:col>1</xdr:col>
      <xdr:colOff>257175</xdr:colOff>
      <xdr:row>23</xdr:row>
      <xdr:rowOff>152400</xdr:rowOff>
    </xdr:from>
    <xdr:to>
      <xdr:col>4</xdr:col>
      <xdr:colOff>533400</xdr:colOff>
      <xdr:row>28</xdr:row>
      <xdr:rowOff>0</xdr:rowOff>
    </xdr:to>
    <xdr:sp>
      <xdr:nvSpPr>
        <xdr:cNvPr id="12" name="AutoShape 18"/>
        <xdr:cNvSpPr>
          <a:spLocks/>
        </xdr:cNvSpPr>
      </xdr:nvSpPr>
      <xdr:spPr>
        <a:xfrm>
          <a:off x="628650" y="3876675"/>
          <a:ext cx="2105025" cy="657225"/>
        </a:xfrm>
        <a:prstGeom prst="flowChartDecision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y50%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&lt; Fj ?</a:t>
          </a:r>
        </a:p>
      </xdr:txBody>
    </xdr:sp>
    <xdr:clientData/>
  </xdr:twoCellAnchor>
  <xdr:twoCellAnchor editAs="absolute">
    <xdr:from>
      <xdr:col>3</xdr:col>
      <xdr:colOff>95250</xdr:colOff>
      <xdr:row>21</xdr:row>
      <xdr:rowOff>114300</xdr:rowOff>
    </xdr:from>
    <xdr:to>
      <xdr:col>3</xdr:col>
      <xdr:colOff>95250</xdr:colOff>
      <xdr:row>23</xdr:row>
      <xdr:rowOff>152400</xdr:rowOff>
    </xdr:to>
    <xdr:sp>
      <xdr:nvSpPr>
        <xdr:cNvPr id="13" name="AutoShape 19"/>
        <xdr:cNvSpPr>
          <a:spLocks/>
        </xdr:cNvSpPr>
      </xdr:nvSpPr>
      <xdr:spPr>
        <a:xfrm>
          <a:off x="1685925" y="3514725"/>
          <a:ext cx="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533400</xdr:colOff>
      <xdr:row>15</xdr:row>
      <xdr:rowOff>85725</xdr:rowOff>
    </xdr:from>
    <xdr:to>
      <xdr:col>9</xdr:col>
      <xdr:colOff>552450</xdr:colOff>
      <xdr:row>26</xdr:row>
      <xdr:rowOff>0</xdr:rowOff>
    </xdr:to>
    <xdr:sp>
      <xdr:nvSpPr>
        <xdr:cNvPr id="14" name="AutoShape 21"/>
        <xdr:cNvSpPr>
          <a:spLocks/>
        </xdr:cNvSpPr>
      </xdr:nvSpPr>
      <xdr:spPr>
        <a:xfrm flipV="1">
          <a:off x="2733675" y="2514600"/>
          <a:ext cx="3067050" cy="169545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85725</xdr:colOff>
      <xdr:row>24</xdr:row>
      <xdr:rowOff>114300</xdr:rowOff>
    </xdr:from>
    <xdr:to>
      <xdr:col>6</xdr:col>
      <xdr:colOff>390525</xdr:colOff>
      <xdr:row>25</xdr:row>
      <xdr:rowOff>95250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3505200" y="4000500"/>
          <a:ext cx="304800" cy="1428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</a:t>
          </a:r>
        </a:p>
      </xdr:txBody>
    </xdr:sp>
    <xdr:clientData/>
  </xdr:twoCellAnchor>
  <xdr:twoCellAnchor editAs="absolute">
    <xdr:from>
      <xdr:col>1</xdr:col>
      <xdr:colOff>257175</xdr:colOff>
      <xdr:row>30</xdr:row>
      <xdr:rowOff>38100</xdr:rowOff>
    </xdr:from>
    <xdr:to>
      <xdr:col>4</xdr:col>
      <xdr:colOff>552450</xdr:colOff>
      <xdr:row>33</xdr:row>
      <xdr:rowOff>85725</xdr:rowOff>
    </xdr:to>
    <xdr:sp>
      <xdr:nvSpPr>
        <xdr:cNvPr id="16" name="AutoShape 23"/>
        <xdr:cNvSpPr>
          <a:spLocks/>
        </xdr:cNvSpPr>
      </xdr:nvSpPr>
      <xdr:spPr>
        <a:xfrm>
          <a:off x="628650" y="4895850"/>
          <a:ext cx="2124075" cy="533400"/>
        </a:xfrm>
        <a:prstGeom prst="flowChartProcess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Cálculo da força nos parafusos com base na tensão de escoamento na temperatura de projeto (F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yop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 editAs="absolute">
    <xdr:from>
      <xdr:col>3</xdr:col>
      <xdr:colOff>95250</xdr:colOff>
      <xdr:row>28</xdr:row>
      <xdr:rowOff>0</xdr:rowOff>
    </xdr:from>
    <xdr:to>
      <xdr:col>3</xdr:col>
      <xdr:colOff>104775</xdr:colOff>
      <xdr:row>30</xdr:row>
      <xdr:rowOff>19050</xdr:rowOff>
    </xdr:to>
    <xdr:sp>
      <xdr:nvSpPr>
        <xdr:cNvPr id="17" name="AutoShape 24"/>
        <xdr:cNvSpPr>
          <a:spLocks/>
        </xdr:cNvSpPr>
      </xdr:nvSpPr>
      <xdr:spPr>
        <a:xfrm>
          <a:off x="1685925" y="4533900"/>
          <a:ext cx="952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219075</xdr:colOff>
      <xdr:row>28</xdr:row>
      <xdr:rowOff>47625</xdr:rowOff>
    </xdr:from>
    <xdr:to>
      <xdr:col>3</xdr:col>
      <xdr:colOff>495300</xdr:colOff>
      <xdr:row>29</xdr:row>
      <xdr:rowOff>76200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1809750" y="4581525"/>
          <a:ext cx="276225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</a:t>
          </a:r>
        </a:p>
      </xdr:txBody>
    </xdr:sp>
    <xdr:clientData/>
  </xdr:twoCellAnchor>
  <xdr:twoCellAnchor editAs="absolute">
    <xdr:from>
      <xdr:col>1</xdr:col>
      <xdr:colOff>266700</xdr:colOff>
      <xdr:row>35</xdr:row>
      <xdr:rowOff>95250</xdr:rowOff>
    </xdr:from>
    <xdr:to>
      <xdr:col>4</xdr:col>
      <xdr:colOff>542925</xdr:colOff>
      <xdr:row>39</xdr:row>
      <xdr:rowOff>104775</xdr:rowOff>
    </xdr:to>
    <xdr:sp>
      <xdr:nvSpPr>
        <xdr:cNvPr id="19" name="AutoShape 26"/>
        <xdr:cNvSpPr>
          <a:spLocks/>
        </xdr:cNvSpPr>
      </xdr:nvSpPr>
      <xdr:spPr>
        <a:xfrm>
          <a:off x="638175" y="5762625"/>
          <a:ext cx="2105025" cy="657225"/>
        </a:xfrm>
        <a:prstGeom prst="flowChartDecision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y50%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&lt; F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yop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?</a:t>
          </a:r>
        </a:p>
      </xdr:txBody>
    </xdr:sp>
    <xdr:clientData/>
  </xdr:twoCellAnchor>
  <xdr:twoCellAnchor editAs="absolute">
    <xdr:from>
      <xdr:col>6</xdr:col>
      <xdr:colOff>76200</xdr:colOff>
      <xdr:row>36</xdr:row>
      <xdr:rowOff>47625</xdr:rowOff>
    </xdr:from>
    <xdr:to>
      <xdr:col>6</xdr:col>
      <xdr:colOff>371475</xdr:colOff>
      <xdr:row>37</xdr:row>
      <xdr:rowOff>57150</xdr:rowOff>
    </xdr:to>
    <xdr:sp>
      <xdr:nvSpPr>
        <xdr:cNvPr id="20" name="Text Box 27"/>
        <xdr:cNvSpPr txBox="1">
          <a:spLocks noChangeArrowheads="1"/>
        </xdr:cNvSpPr>
      </xdr:nvSpPr>
      <xdr:spPr>
        <a:xfrm>
          <a:off x="3495675" y="5876925"/>
          <a:ext cx="295275" cy="1714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</a:t>
          </a:r>
        </a:p>
      </xdr:txBody>
    </xdr:sp>
    <xdr:clientData/>
  </xdr:twoCellAnchor>
  <xdr:twoCellAnchor editAs="absolute">
    <xdr:from>
      <xdr:col>3</xdr:col>
      <xdr:colOff>200025</xdr:colOff>
      <xdr:row>39</xdr:row>
      <xdr:rowOff>142875</xdr:rowOff>
    </xdr:from>
    <xdr:to>
      <xdr:col>3</xdr:col>
      <xdr:colOff>476250</xdr:colOff>
      <xdr:row>41</xdr:row>
      <xdr:rowOff>9525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1790700" y="6457950"/>
          <a:ext cx="276225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</a:t>
          </a:r>
        </a:p>
      </xdr:txBody>
    </xdr:sp>
    <xdr:clientData/>
  </xdr:twoCellAnchor>
  <xdr:twoCellAnchor editAs="absolute">
    <xdr:from>
      <xdr:col>3</xdr:col>
      <xdr:colOff>104775</xdr:colOff>
      <xdr:row>33</xdr:row>
      <xdr:rowOff>104775</xdr:rowOff>
    </xdr:from>
    <xdr:to>
      <xdr:col>3</xdr:col>
      <xdr:colOff>104775</xdr:colOff>
      <xdr:row>35</xdr:row>
      <xdr:rowOff>95250</xdr:rowOff>
    </xdr:to>
    <xdr:sp>
      <xdr:nvSpPr>
        <xdr:cNvPr id="22" name="AutoShape 29"/>
        <xdr:cNvSpPr>
          <a:spLocks/>
        </xdr:cNvSpPr>
      </xdr:nvSpPr>
      <xdr:spPr>
        <a:xfrm>
          <a:off x="1695450" y="5448300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15</xdr:row>
      <xdr:rowOff>85725</xdr:rowOff>
    </xdr:from>
    <xdr:to>
      <xdr:col>9</xdr:col>
      <xdr:colOff>552450</xdr:colOff>
      <xdr:row>37</xdr:row>
      <xdr:rowOff>104775</xdr:rowOff>
    </xdr:to>
    <xdr:sp>
      <xdr:nvSpPr>
        <xdr:cNvPr id="23" name="AutoShape 32"/>
        <xdr:cNvSpPr>
          <a:spLocks/>
        </xdr:cNvSpPr>
      </xdr:nvSpPr>
      <xdr:spPr>
        <a:xfrm flipV="1">
          <a:off x="2743200" y="2514600"/>
          <a:ext cx="3057525" cy="35814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247650</xdr:colOff>
      <xdr:row>41</xdr:row>
      <xdr:rowOff>152400</xdr:rowOff>
    </xdr:from>
    <xdr:to>
      <xdr:col>4</xdr:col>
      <xdr:colOff>542925</xdr:colOff>
      <xdr:row>47</xdr:row>
      <xdr:rowOff>133350</xdr:rowOff>
    </xdr:to>
    <xdr:sp>
      <xdr:nvSpPr>
        <xdr:cNvPr id="24" name="AutoShape 33"/>
        <xdr:cNvSpPr>
          <a:spLocks/>
        </xdr:cNvSpPr>
      </xdr:nvSpPr>
      <xdr:spPr>
        <a:xfrm>
          <a:off x="619125" y="6791325"/>
          <a:ext cx="2124075" cy="952500"/>
        </a:xfrm>
        <a:prstGeom prst="flowChartProcess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Cálculo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(F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= força resultante da pressão interna (F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+ F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y50%</a:t>
          </a:r>
        </a:p>
      </xdr:txBody>
    </xdr:sp>
    <xdr:clientData/>
  </xdr:twoCellAnchor>
  <xdr:twoCellAnchor>
    <xdr:from>
      <xdr:col>3</xdr:col>
      <xdr:colOff>95250</xdr:colOff>
      <xdr:row>39</xdr:row>
      <xdr:rowOff>104775</xdr:rowOff>
    </xdr:from>
    <xdr:to>
      <xdr:col>3</xdr:col>
      <xdr:colOff>104775</xdr:colOff>
      <xdr:row>41</xdr:row>
      <xdr:rowOff>133350</xdr:rowOff>
    </xdr:to>
    <xdr:sp>
      <xdr:nvSpPr>
        <xdr:cNvPr id="25" name="AutoShape 34"/>
        <xdr:cNvSpPr>
          <a:spLocks/>
        </xdr:cNvSpPr>
      </xdr:nvSpPr>
      <xdr:spPr>
        <a:xfrm flipH="1">
          <a:off x="1685925" y="6419850"/>
          <a:ext cx="9525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257175</xdr:colOff>
      <xdr:row>49</xdr:row>
      <xdr:rowOff>152400</xdr:rowOff>
    </xdr:from>
    <xdr:to>
      <xdr:col>4</xdr:col>
      <xdr:colOff>533400</xdr:colOff>
      <xdr:row>54</xdr:row>
      <xdr:rowOff>0</xdr:rowOff>
    </xdr:to>
    <xdr:sp>
      <xdr:nvSpPr>
        <xdr:cNvPr id="26" name="AutoShape 35"/>
        <xdr:cNvSpPr>
          <a:spLocks/>
        </xdr:cNvSpPr>
      </xdr:nvSpPr>
      <xdr:spPr>
        <a:xfrm>
          <a:off x="628650" y="8086725"/>
          <a:ext cx="2105025" cy="657225"/>
        </a:xfrm>
        <a:prstGeom prst="flowChartDecision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&lt; F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yop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?</a:t>
          </a:r>
        </a:p>
      </xdr:txBody>
    </xdr:sp>
    <xdr:clientData/>
  </xdr:twoCellAnchor>
  <xdr:twoCellAnchor>
    <xdr:from>
      <xdr:col>3</xdr:col>
      <xdr:colOff>95250</xdr:colOff>
      <xdr:row>47</xdr:row>
      <xdr:rowOff>152400</xdr:rowOff>
    </xdr:from>
    <xdr:to>
      <xdr:col>3</xdr:col>
      <xdr:colOff>95250</xdr:colOff>
      <xdr:row>49</xdr:row>
      <xdr:rowOff>152400</xdr:rowOff>
    </xdr:to>
    <xdr:sp>
      <xdr:nvSpPr>
        <xdr:cNvPr id="27" name="AutoShape 36"/>
        <xdr:cNvSpPr>
          <a:spLocks/>
        </xdr:cNvSpPr>
      </xdr:nvSpPr>
      <xdr:spPr>
        <a:xfrm>
          <a:off x="1685925" y="776287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200025</xdr:colOff>
      <xdr:row>54</xdr:row>
      <xdr:rowOff>95250</xdr:rowOff>
    </xdr:from>
    <xdr:to>
      <xdr:col>3</xdr:col>
      <xdr:colOff>476250</xdr:colOff>
      <xdr:row>55</xdr:row>
      <xdr:rowOff>123825</xdr:rowOff>
    </xdr:to>
    <xdr:sp>
      <xdr:nvSpPr>
        <xdr:cNvPr id="28" name="Text Box 37"/>
        <xdr:cNvSpPr txBox="1">
          <a:spLocks noChangeArrowheads="1"/>
        </xdr:cNvSpPr>
      </xdr:nvSpPr>
      <xdr:spPr>
        <a:xfrm>
          <a:off x="1790700" y="8839200"/>
          <a:ext cx="276225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</a:t>
          </a:r>
        </a:p>
      </xdr:txBody>
    </xdr:sp>
    <xdr:clientData/>
  </xdr:twoCellAnchor>
  <xdr:twoCellAnchor editAs="absolute">
    <xdr:from>
      <xdr:col>5</xdr:col>
      <xdr:colOff>76200</xdr:colOff>
      <xdr:row>50</xdr:row>
      <xdr:rowOff>47625</xdr:rowOff>
    </xdr:from>
    <xdr:to>
      <xdr:col>5</xdr:col>
      <xdr:colOff>371475</xdr:colOff>
      <xdr:row>51</xdr:row>
      <xdr:rowOff>57150</xdr:rowOff>
    </xdr:to>
    <xdr:sp>
      <xdr:nvSpPr>
        <xdr:cNvPr id="29" name="Text Box 39"/>
        <xdr:cNvSpPr txBox="1">
          <a:spLocks noChangeArrowheads="1"/>
        </xdr:cNvSpPr>
      </xdr:nvSpPr>
      <xdr:spPr>
        <a:xfrm>
          <a:off x="2886075" y="8143875"/>
          <a:ext cx="295275" cy="1714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</a:t>
          </a:r>
        </a:p>
      </xdr:txBody>
    </xdr:sp>
    <xdr:clientData/>
  </xdr:twoCellAnchor>
  <xdr:twoCellAnchor editAs="absolute">
    <xdr:from>
      <xdr:col>1</xdr:col>
      <xdr:colOff>257175</xdr:colOff>
      <xdr:row>56</xdr:row>
      <xdr:rowOff>133350</xdr:rowOff>
    </xdr:from>
    <xdr:to>
      <xdr:col>4</xdr:col>
      <xdr:colOff>552450</xdr:colOff>
      <xdr:row>59</xdr:row>
      <xdr:rowOff>57150</xdr:rowOff>
    </xdr:to>
    <xdr:sp>
      <xdr:nvSpPr>
        <xdr:cNvPr id="30" name="AutoShape 40"/>
        <xdr:cNvSpPr>
          <a:spLocks/>
        </xdr:cNvSpPr>
      </xdr:nvSpPr>
      <xdr:spPr>
        <a:xfrm>
          <a:off x="628650" y="9201150"/>
          <a:ext cx="2124075" cy="409575"/>
        </a:xfrm>
        <a:prstGeom prst="flowChartProcess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Força a ser adotada (F) será igual a F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y50%</a:t>
          </a:r>
        </a:p>
      </xdr:txBody>
    </xdr:sp>
    <xdr:clientData/>
  </xdr:twoCellAnchor>
  <xdr:twoCellAnchor>
    <xdr:from>
      <xdr:col>3</xdr:col>
      <xdr:colOff>95250</xdr:colOff>
      <xdr:row>54</xdr:row>
      <xdr:rowOff>0</xdr:rowOff>
    </xdr:from>
    <xdr:to>
      <xdr:col>3</xdr:col>
      <xdr:colOff>104775</xdr:colOff>
      <xdr:row>56</xdr:row>
      <xdr:rowOff>114300</xdr:rowOff>
    </xdr:to>
    <xdr:sp>
      <xdr:nvSpPr>
        <xdr:cNvPr id="31" name="AutoShape 41"/>
        <xdr:cNvSpPr>
          <a:spLocks/>
        </xdr:cNvSpPr>
      </xdr:nvSpPr>
      <xdr:spPr>
        <a:xfrm>
          <a:off x="1685925" y="8743950"/>
          <a:ext cx="9525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485775</xdr:colOff>
      <xdr:row>49</xdr:row>
      <xdr:rowOff>19050</xdr:rowOff>
    </xdr:from>
    <xdr:to>
      <xdr:col>9</xdr:col>
      <xdr:colOff>171450</xdr:colOff>
      <xdr:row>54</xdr:row>
      <xdr:rowOff>133350</xdr:rowOff>
    </xdr:to>
    <xdr:sp>
      <xdr:nvSpPr>
        <xdr:cNvPr id="32" name="AutoShape 42"/>
        <xdr:cNvSpPr>
          <a:spLocks/>
        </xdr:cNvSpPr>
      </xdr:nvSpPr>
      <xdr:spPr>
        <a:xfrm>
          <a:off x="3295650" y="7953375"/>
          <a:ext cx="2124075" cy="923925"/>
        </a:xfrm>
        <a:prstGeom prst="flowChartProcess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Cálculo de F = F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yop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F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pi</a:t>
          </a:r>
        </a:p>
      </xdr:txBody>
    </xdr:sp>
    <xdr:clientData/>
  </xdr:twoCellAnchor>
  <xdr:twoCellAnchor>
    <xdr:from>
      <xdr:col>4</xdr:col>
      <xdr:colOff>533400</xdr:colOff>
      <xdr:row>52</xdr:row>
      <xdr:rowOff>0</xdr:rowOff>
    </xdr:from>
    <xdr:to>
      <xdr:col>5</xdr:col>
      <xdr:colOff>466725</xdr:colOff>
      <xdr:row>52</xdr:row>
      <xdr:rowOff>0</xdr:rowOff>
    </xdr:to>
    <xdr:sp>
      <xdr:nvSpPr>
        <xdr:cNvPr id="33" name="AutoShape 43"/>
        <xdr:cNvSpPr>
          <a:spLocks/>
        </xdr:cNvSpPr>
      </xdr:nvSpPr>
      <xdr:spPr>
        <a:xfrm>
          <a:off x="2733675" y="8420100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495300</xdr:colOff>
      <xdr:row>56</xdr:row>
      <xdr:rowOff>114300</xdr:rowOff>
    </xdr:from>
    <xdr:to>
      <xdr:col>9</xdr:col>
      <xdr:colOff>161925</xdr:colOff>
      <xdr:row>60</xdr:row>
      <xdr:rowOff>104775</xdr:rowOff>
    </xdr:to>
    <xdr:sp>
      <xdr:nvSpPr>
        <xdr:cNvPr id="34" name="AutoShape 44"/>
        <xdr:cNvSpPr>
          <a:spLocks/>
        </xdr:cNvSpPr>
      </xdr:nvSpPr>
      <xdr:spPr>
        <a:xfrm>
          <a:off x="3305175" y="9182100"/>
          <a:ext cx="2105025" cy="638175"/>
        </a:xfrm>
        <a:prstGeom prst="flowChartDecision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&gt; F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twoCellAnchor>
  <xdr:twoCellAnchor>
    <xdr:from>
      <xdr:col>7</xdr:col>
      <xdr:colOff>333375</xdr:colOff>
      <xdr:row>54</xdr:row>
      <xdr:rowOff>152400</xdr:rowOff>
    </xdr:from>
    <xdr:to>
      <xdr:col>7</xdr:col>
      <xdr:colOff>333375</xdr:colOff>
      <xdr:row>56</xdr:row>
      <xdr:rowOff>114300</xdr:rowOff>
    </xdr:to>
    <xdr:sp>
      <xdr:nvSpPr>
        <xdr:cNvPr id="35" name="AutoShape 45"/>
        <xdr:cNvSpPr>
          <a:spLocks/>
        </xdr:cNvSpPr>
      </xdr:nvSpPr>
      <xdr:spPr>
        <a:xfrm>
          <a:off x="4362450" y="889635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276225</xdr:colOff>
      <xdr:row>59</xdr:row>
      <xdr:rowOff>114300</xdr:rowOff>
    </xdr:from>
    <xdr:to>
      <xdr:col>9</xdr:col>
      <xdr:colOff>571500</xdr:colOff>
      <xdr:row>60</xdr:row>
      <xdr:rowOff>123825</xdr:rowOff>
    </xdr:to>
    <xdr:sp>
      <xdr:nvSpPr>
        <xdr:cNvPr id="36" name="Text Box 46"/>
        <xdr:cNvSpPr txBox="1">
          <a:spLocks noChangeArrowheads="1"/>
        </xdr:cNvSpPr>
      </xdr:nvSpPr>
      <xdr:spPr>
        <a:xfrm>
          <a:off x="5524500" y="9667875"/>
          <a:ext cx="295275" cy="1714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</a:t>
          </a:r>
        </a:p>
      </xdr:txBody>
    </xdr:sp>
    <xdr:clientData/>
  </xdr:twoCellAnchor>
  <xdr:twoCellAnchor>
    <xdr:from>
      <xdr:col>9</xdr:col>
      <xdr:colOff>161925</xdr:colOff>
      <xdr:row>15</xdr:row>
      <xdr:rowOff>85725</xdr:rowOff>
    </xdr:from>
    <xdr:to>
      <xdr:col>9</xdr:col>
      <xdr:colOff>552450</xdr:colOff>
      <xdr:row>58</xdr:row>
      <xdr:rowOff>114300</xdr:rowOff>
    </xdr:to>
    <xdr:sp>
      <xdr:nvSpPr>
        <xdr:cNvPr id="37" name="AutoShape 47"/>
        <xdr:cNvSpPr>
          <a:spLocks/>
        </xdr:cNvSpPr>
      </xdr:nvSpPr>
      <xdr:spPr>
        <a:xfrm flipV="1">
          <a:off x="5410200" y="2514600"/>
          <a:ext cx="390525" cy="699135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476250</xdr:colOff>
      <xdr:row>62</xdr:row>
      <xdr:rowOff>114300</xdr:rowOff>
    </xdr:from>
    <xdr:to>
      <xdr:col>9</xdr:col>
      <xdr:colOff>161925</xdr:colOff>
      <xdr:row>65</xdr:row>
      <xdr:rowOff>9525</xdr:rowOff>
    </xdr:to>
    <xdr:sp>
      <xdr:nvSpPr>
        <xdr:cNvPr id="38" name="AutoShape 48"/>
        <xdr:cNvSpPr>
          <a:spLocks/>
        </xdr:cNvSpPr>
      </xdr:nvSpPr>
      <xdr:spPr>
        <a:xfrm>
          <a:off x="3286125" y="10153650"/>
          <a:ext cx="2124075" cy="381000"/>
        </a:xfrm>
        <a:prstGeom prst="flowChartProcess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Força a ser adotada será igual a  F</a:t>
          </a:r>
        </a:p>
      </xdr:txBody>
    </xdr:sp>
    <xdr:clientData/>
  </xdr:twoCellAnchor>
  <xdr:twoCellAnchor>
    <xdr:from>
      <xdr:col>7</xdr:col>
      <xdr:colOff>323850</xdr:colOff>
      <xdr:row>60</xdr:row>
      <xdr:rowOff>104775</xdr:rowOff>
    </xdr:from>
    <xdr:to>
      <xdr:col>7</xdr:col>
      <xdr:colOff>333375</xdr:colOff>
      <xdr:row>62</xdr:row>
      <xdr:rowOff>95250</xdr:rowOff>
    </xdr:to>
    <xdr:sp>
      <xdr:nvSpPr>
        <xdr:cNvPr id="39" name="AutoShape 49"/>
        <xdr:cNvSpPr>
          <a:spLocks/>
        </xdr:cNvSpPr>
      </xdr:nvSpPr>
      <xdr:spPr>
        <a:xfrm flipH="1">
          <a:off x="4352925" y="9820275"/>
          <a:ext cx="95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61</xdr:row>
      <xdr:rowOff>28575</xdr:rowOff>
    </xdr:from>
    <xdr:to>
      <xdr:col>8</xdr:col>
      <xdr:colOff>95250</xdr:colOff>
      <xdr:row>62</xdr:row>
      <xdr:rowOff>57150</xdr:rowOff>
    </xdr:to>
    <xdr:sp>
      <xdr:nvSpPr>
        <xdr:cNvPr id="40" name="Text Box 50"/>
        <xdr:cNvSpPr txBox="1">
          <a:spLocks noChangeArrowheads="1"/>
        </xdr:cNvSpPr>
      </xdr:nvSpPr>
      <xdr:spPr>
        <a:xfrm>
          <a:off x="4457700" y="9906000"/>
          <a:ext cx="276225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</a:t>
          </a:r>
        </a:p>
      </xdr:txBody>
    </xdr:sp>
    <xdr:clientData/>
  </xdr:twoCellAnchor>
  <xdr:oneCellAnchor>
    <xdr:from>
      <xdr:col>5</xdr:col>
      <xdr:colOff>304800</xdr:colOff>
      <xdr:row>3</xdr:row>
      <xdr:rowOff>9525</xdr:rowOff>
    </xdr:from>
    <xdr:ext cx="1504950" cy="219075"/>
    <xdr:sp>
      <xdr:nvSpPr>
        <xdr:cNvPr id="41" name="Text Box 51"/>
        <xdr:cNvSpPr txBox="1">
          <a:spLocks noChangeArrowheads="1"/>
        </xdr:cNvSpPr>
      </xdr:nvSpPr>
      <xdr:spPr>
        <a:xfrm>
          <a:off x="3114675" y="495300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Itens de cálculo 1), 2) e 3)</a:t>
          </a:r>
        </a:p>
      </xdr:txBody>
    </xdr:sp>
    <xdr:clientData/>
  </xdr:oneCellAnchor>
  <xdr:oneCellAnchor>
    <xdr:from>
      <xdr:col>5</xdr:col>
      <xdr:colOff>295275</xdr:colOff>
      <xdr:row>8</xdr:row>
      <xdr:rowOff>104775</xdr:rowOff>
    </xdr:from>
    <xdr:ext cx="476250" cy="219075"/>
    <xdr:sp>
      <xdr:nvSpPr>
        <xdr:cNvPr id="42" name="Text Box 52"/>
        <xdr:cNvSpPr txBox="1">
          <a:spLocks noChangeArrowheads="1"/>
        </xdr:cNvSpPr>
      </xdr:nvSpPr>
      <xdr:spPr>
        <a:xfrm>
          <a:off x="3105150" y="1400175"/>
          <a:ext cx="4762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 4)</a:t>
          </a:r>
        </a:p>
      </xdr:txBody>
    </xdr:sp>
    <xdr:clientData/>
  </xdr:oneCellAnchor>
  <xdr:oneCellAnchor>
    <xdr:from>
      <xdr:col>3</xdr:col>
      <xdr:colOff>495300</xdr:colOff>
      <xdr:row>12</xdr:row>
      <xdr:rowOff>38100</xdr:rowOff>
    </xdr:from>
    <xdr:ext cx="476250" cy="219075"/>
    <xdr:sp>
      <xdr:nvSpPr>
        <xdr:cNvPr id="43" name="Text Box 53"/>
        <xdr:cNvSpPr txBox="1">
          <a:spLocks noChangeArrowheads="1"/>
        </xdr:cNvSpPr>
      </xdr:nvSpPr>
      <xdr:spPr>
        <a:xfrm>
          <a:off x="2085975" y="1981200"/>
          <a:ext cx="4762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  5)</a:t>
          </a:r>
        </a:p>
      </xdr:txBody>
    </xdr:sp>
    <xdr:clientData/>
  </xdr:oneCellAnchor>
  <xdr:oneCellAnchor>
    <xdr:from>
      <xdr:col>5</xdr:col>
      <xdr:colOff>257175</xdr:colOff>
      <xdr:row>19</xdr:row>
      <xdr:rowOff>38100</xdr:rowOff>
    </xdr:from>
    <xdr:ext cx="476250" cy="219075"/>
    <xdr:sp>
      <xdr:nvSpPr>
        <xdr:cNvPr id="44" name="Text Box 54"/>
        <xdr:cNvSpPr txBox="1">
          <a:spLocks noChangeArrowheads="1"/>
        </xdr:cNvSpPr>
      </xdr:nvSpPr>
      <xdr:spPr>
        <a:xfrm>
          <a:off x="3067050" y="3114675"/>
          <a:ext cx="4762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 6)</a:t>
          </a:r>
        </a:p>
      </xdr:txBody>
    </xdr:sp>
    <xdr:clientData/>
  </xdr:oneCellAnchor>
  <xdr:oneCellAnchor>
    <xdr:from>
      <xdr:col>3</xdr:col>
      <xdr:colOff>533400</xdr:colOff>
      <xdr:row>23</xdr:row>
      <xdr:rowOff>133350</xdr:rowOff>
    </xdr:from>
    <xdr:ext cx="476250" cy="219075"/>
    <xdr:sp>
      <xdr:nvSpPr>
        <xdr:cNvPr id="45" name="Text Box 55"/>
        <xdr:cNvSpPr txBox="1">
          <a:spLocks noChangeArrowheads="1"/>
        </xdr:cNvSpPr>
      </xdr:nvSpPr>
      <xdr:spPr>
        <a:xfrm>
          <a:off x="2124075" y="3857625"/>
          <a:ext cx="4762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 7)</a:t>
          </a:r>
        </a:p>
      </xdr:txBody>
    </xdr:sp>
    <xdr:clientData/>
  </xdr:oneCellAnchor>
  <xdr:oneCellAnchor>
    <xdr:from>
      <xdr:col>5</xdr:col>
      <xdr:colOff>209550</xdr:colOff>
      <xdr:row>31</xdr:row>
      <xdr:rowOff>19050</xdr:rowOff>
    </xdr:from>
    <xdr:ext cx="476250" cy="219075"/>
    <xdr:sp>
      <xdr:nvSpPr>
        <xdr:cNvPr id="46" name="Text Box 56"/>
        <xdr:cNvSpPr txBox="1">
          <a:spLocks noChangeArrowheads="1"/>
        </xdr:cNvSpPr>
      </xdr:nvSpPr>
      <xdr:spPr>
        <a:xfrm>
          <a:off x="3019425" y="5038725"/>
          <a:ext cx="4762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 8)</a:t>
          </a:r>
        </a:p>
      </xdr:txBody>
    </xdr:sp>
    <xdr:clientData/>
  </xdr:oneCellAnchor>
  <xdr:oneCellAnchor>
    <xdr:from>
      <xdr:col>3</xdr:col>
      <xdr:colOff>600075</xdr:colOff>
      <xdr:row>35</xdr:row>
      <xdr:rowOff>76200</xdr:rowOff>
    </xdr:from>
    <xdr:ext cx="476250" cy="219075"/>
    <xdr:sp>
      <xdr:nvSpPr>
        <xdr:cNvPr id="47" name="Text Box 57"/>
        <xdr:cNvSpPr txBox="1">
          <a:spLocks noChangeArrowheads="1"/>
        </xdr:cNvSpPr>
      </xdr:nvSpPr>
      <xdr:spPr>
        <a:xfrm>
          <a:off x="2190750" y="5743575"/>
          <a:ext cx="4762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 9)</a:t>
          </a:r>
        </a:p>
      </xdr:txBody>
    </xdr:sp>
    <xdr:clientData/>
  </xdr:oneCellAnchor>
  <xdr:oneCellAnchor>
    <xdr:from>
      <xdr:col>5</xdr:col>
      <xdr:colOff>209550</xdr:colOff>
      <xdr:row>44</xdr:row>
      <xdr:rowOff>9525</xdr:rowOff>
    </xdr:from>
    <xdr:ext cx="552450" cy="219075"/>
    <xdr:sp>
      <xdr:nvSpPr>
        <xdr:cNvPr id="48" name="Text Box 58"/>
        <xdr:cNvSpPr txBox="1">
          <a:spLocks noChangeArrowheads="1"/>
        </xdr:cNvSpPr>
      </xdr:nvSpPr>
      <xdr:spPr>
        <a:xfrm>
          <a:off x="3019425" y="7134225"/>
          <a:ext cx="552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 10)</a:t>
          </a:r>
        </a:p>
      </xdr:txBody>
    </xdr:sp>
    <xdr:clientData/>
  </xdr:oneCellAnchor>
  <xdr:oneCellAnchor>
    <xdr:from>
      <xdr:col>3</xdr:col>
      <xdr:colOff>485775</xdr:colOff>
      <xdr:row>49</xdr:row>
      <xdr:rowOff>104775</xdr:rowOff>
    </xdr:from>
    <xdr:ext cx="533400" cy="219075"/>
    <xdr:sp>
      <xdr:nvSpPr>
        <xdr:cNvPr id="49" name="Text Box 59"/>
        <xdr:cNvSpPr txBox="1">
          <a:spLocks noChangeArrowheads="1"/>
        </xdr:cNvSpPr>
      </xdr:nvSpPr>
      <xdr:spPr>
        <a:xfrm>
          <a:off x="2076450" y="8039100"/>
          <a:ext cx="533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 11)</a:t>
          </a:r>
        </a:p>
      </xdr:txBody>
    </xdr:sp>
    <xdr:clientData/>
  </xdr:oneCellAnchor>
  <xdr:oneCellAnchor>
    <xdr:from>
      <xdr:col>7</xdr:col>
      <xdr:colOff>57150</xdr:colOff>
      <xdr:row>47</xdr:row>
      <xdr:rowOff>66675</xdr:rowOff>
    </xdr:from>
    <xdr:ext cx="561975" cy="219075"/>
    <xdr:sp>
      <xdr:nvSpPr>
        <xdr:cNvPr id="50" name="Text Box 60"/>
        <xdr:cNvSpPr txBox="1">
          <a:spLocks noChangeArrowheads="1"/>
        </xdr:cNvSpPr>
      </xdr:nvSpPr>
      <xdr:spPr>
        <a:xfrm>
          <a:off x="4086225" y="7677150"/>
          <a:ext cx="561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 11)</a:t>
          </a:r>
        </a:p>
      </xdr:txBody>
    </xdr:sp>
    <xdr:clientData/>
  </xdr:oneCellAnchor>
  <xdr:oneCellAnchor>
    <xdr:from>
      <xdr:col>8</xdr:col>
      <xdr:colOff>95250</xdr:colOff>
      <xdr:row>56</xdr:row>
      <xdr:rowOff>66675</xdr:rowOff>
    </xdr:from>
    <xdr:ext cx="600075" cy="219075"/>
    <xdr:sp>
      <xdr:nvSpPr>
        <xdr:cNvPr id="51" name="Text Box 61"/>
        <xdr:cNvSpPr txBox="1">
          <a:spLocks noChangeArrowheads="1"/>
        </xdr:cNvSpPr>
      </xdr:nvSpPr>
      <xdr:spPr>
        <a:xfrm>
          <a:off x="4733925" y="9134475"/>
          <a:ext cx="600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 12)</a:t>
          </a:r>
        </a:p>
      </xdr:txBody>
    </xdr:sp>
    <xdr:clientData/>
  </xdr:oneCellAnchor>
  <xdr:twoCellAnchor editAs="absolute">
    <xdr:from>
      <xdr:col>1</xdr:col>
      <xdr:colOff>247650</xdr:colOff>
      <xdr:row>66</xdr:row>
      <xdr:rowOff>9525</xdr:rowOff>
    </xdr:from>
    <xdr:to>
      <xdr:col>4</xdr:col>
      <xdr:colOff>561975</xdr:colOff>
      <xdr:row>68</xdr:row>
      <xdr:rowOff>76200</xdr:rowOff>
    </xdr:to>
    <xdr:sp>
      <xdr:nvSpPr>
        <xdr:cNvPr id="52" name="AutoShape 63"/>
        <xdr:cNvSpPr>
          <a:spLocks/>
        </xdr:cNvSpPr>
      </xdr:nvSpPr>
      <xdr:spPr>
        <a:xfrm>
          <a:off x="619125" y="10696575"/>
          <a:ext cx="2143125" cy="390525"/>
        </a:xfrm>
        <a:prstGeom prst="flowChartProcess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Cálculo do Torque requerido para a força F</a:t>
          </a:r>
        </a:p>
      </xdr:txBody>
    </xdr:sp>
    <xdr:clientData/>
  </xdr:twoCellAnchor>
  <xdr:twoCellAnchor>
    <xdr:from>
      <xdr:col>3</xdr:col>
      <xdr:colOff>104775</xdr:colOff>
      <xdr:row>63</xdr:row>
      <xdr:rowOff>142875</xdr:rowOff>
    </xdr:from>
    <xdr:to>
      <xdr:col>5</xdr:col>
      <xdr:colOff>457200</xdr:colOff>
      <xdr:row>65</xdr:row>
      <xdr:rowOff>152400</xdr:rowOff>
    </xdr:to>
    <xdr:sp>
      <xdr:nvSpPr>
        <xdr:cNvPr id="53" name="AutoShape 64"/>
        <xdr:cNvSpPr>
          <a:spLocks/>
        </xdr:cNvSpPr>
      </xdr:nvSpPr>
      <xdr:spPr>
        <a:xfrm rot="10800000" flipV="1">
          <a:off x="1695450" y="10344150"/>
          <a:ext cx="1571625" cy="3333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59</xdr:row>
      <xdr:rowOff>76200</xdr:rowOff>
    </xdr:from>
    <xdr:to>
      <xdr:col>3</xdr:col>
      <xdr:colOff>104775</xdr:colOff>
      <xdr:row>65</xdr:row>
      <xdr:rowOff>152400</xdr:rowOff>
    </xdr:to>
    <xdr:sp>
      <xdr:nvSpPr>
        <xdr:cNvPr id="54" name="AutoShape 65"/>
        <xdr:cNvSpPr>
          <a:spLocks/>
        </xdr:cNvSpPr>
      </xdr:nvSpPr>
      <xdr:spPr>
        <a:xfrm>
          <a:off x="1695450" y="9629775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285750</xdr:colOff>
      <xdr:row>64</xdr:row>
      <xdr:rowOff>66675</xdr:rowOff>
    </xdr:from>
    <xdr:ext cx="600075" cy="219075"/>
    <xdr:sp>
      <xdr:nvSpPr>
        <xdr:cNvPr id="55" name="Text Box 66"/>
        <xdr:cNvSpPr txBox="1">
          <a:spLocks noChangeArrowheads="1"/>
        </xdr:cNvSpPr>
      </xdr:nvSpPr>
      <xdr:spPr>
        <a:xfrm>
          <a:off x="1876425" y="10429875"/>
          <a:ext cx="600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 12)</a:t>
          </a:r>
        </a:p>
      </xdr:txBody>
    </xdr:sp>
    <xdr:clientData/>
  </xdr:oneCellAnchor>
  <xdr:twoCellAnchor>
    <xdr:from>
      <xdr:col>2</xdr:col>
      <xdr:colOff>257175</xdr:colOff>
      <xdr:row>0</xdr:row>
      <xdr:rowOff>57150</xdr:rowOff>
    </xdr:from>
    <xdr:to>
      <xdr:col>10</xdr:col>
      <xdr:colOff>314325</xdr:colOff>
      <xdr:row>1</xdr:row>
      <xdr:rowOff>142875</xdr:rowOff>
    </xdr:to>
    <xdr:sp>
      <xdr:nvSpPr>
        <xdr:cNvPr id="56" name="Text Box 67"/>
        <xdr:cNvSpPr txBox="1">
          <a:spLocks noChangeArrowheads="1"/>
        </xdr:cNvSpPr>
      </xdr:nvSpPr>
      <xdr:spPr>
        <a:xfrm>
          <a:off x="1238250" y="57150"/>
          <a:ext cx="4933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Diagrama de Blocos p/Cálculo de Torque em Parafusos de Flanges Aparafusados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zoomScale="101" zoomScaleNormal="101" zoomScalePageLayoutView="0" workbookViewId="0" topLeftCell="A1">
      <selection activeCell="O56" sqref="O56"/>
    </sheetView>
  </sheetViews>
  <sheetFormatPr defaultColWidth="9.140625" defaultRowHeight="12.75"/>
  <cols>
    <col min="1" max="1" width="5.57421875" style="0" customWidth="1"/>
  </cols>
  <sheetData>
    <row r="1" spans="1:12" ht="12.7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 ht="12.7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ht="12.75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12.75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6"/>
    </row>
    <row r="5" spans="1:12" ht="12.7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6"/>
    </row>
    <row r="6" spans="1:12" ht="12.75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6"/>
    </row>
    <row r="7" spans="1:12" ht="12.7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6"/>
    </row>
    <row r="8" spans="1:12" ht="12.75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6"/>
    </row>
    <row r="9" spans="1:12" ht="12.75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6"/>
    </row>
    <row r="10" spans="1:12" ht="12.75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6"/>
    </row>
    <row r="11" spans="1:12" ht="12.75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1:12" ht="12.75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6"/>
    </row>
    <row r="13" spans="1:12" ht="12.75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6"/>
    </row>
    <row r="14" spans="1:12" ht="12.75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6"/>
    </row>
    <row r="15" spans="1:12" ht="12.7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6"/>
    </row>
    <row r="16" spans="1:12" ht="12.75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6"/>
    </row>
    <row r="17" spans="1:12" ht="12.75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6"/>
    </row>
    <row r="18" spans="1:12" ht="12.75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6"/>
    </row>
    <row r="19" spans="1:12" ht="12.75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6"/>
    </row>
    <row r="20" spans="1:12" ht="12.75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6"/>
    </row>
    <row r="21" spans="1:12" ht="12.75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6"/>
    </row>
    <row r="22" spans="1:12" ht="12.7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6"/>
    </row>
    <row r="23" spans="1:12" ht="12.75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6"/>
    </row>
    <row r="24" spans="1:12" ht="12.75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6"/>
    </row>
    <row r="25" spans="1:12" ht="12.75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6"/>
    </row>
    <row r="26" spans="1:12" ht="12.75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6"/>
    </row>
    <row r="27" spans="1:12" ht="12.75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6"/>
    </row>
    <row r="28" spans="1:12" ht="12.7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6"/>
    </row>
    <row r="29" spans="1:12" ht="12.75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6"/>
    </row>
    <row r="30" spans="1:12" ht="12.75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6"/>
    </row>
    <row r="31" spans="1:12" ht="12.75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6"/>
    </row>
    <row r="32" spans="1:12" ht="12.7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6"/>
    </row>
    <row r="33" spans="1:12" ht="12.75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6"/>
    </row>
    <row r="34" spans="1:12" ht="12.7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6"/>
    </row>
    <row r="35" spans="1:12" ht="12.7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6"/>
    </row>
    <row r="36" spans="1:12" ht="12.7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</row>
    <row r="37" spans="1:12" ht="12.75">
      <c r="A37" s="8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6"/>
    </row>
    <row r="38" spans="1:12" ht="12.75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6"/>
    </row>
    <row r="39" spans="1:12" ht="12.75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6"/>
    </row>
    <row r="40" spans="1:12" ht="12.75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6"/>
    </row>
    <row r="41" spans="1:12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6"/>
    </row>
    <row r="42" spans="1:12" ht="12.75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6"/>
    </row>
    <row r="43" spans="1:12" ht="12.75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6"/>
    </row>
    <row r="44" spans="1:12" ht="12.75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6"/>
    </row>
    <row r="45" spans="1:12" ht="12.75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6"/>
    </row>
    <row r="46" spans="1:12" ht="12.75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6"/>
    </row>
    <row r="47" spans="1:12" ht="12.75">
      <c r="A47" s="84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6"/>
    </row>
    <row r="48" spans="1:12" ht="12.75">
      <c r="A48" s="84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6"/>
    </row>
    <row r="49" spans="1:12" ht="12.7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6"/>
    </row>
    <row r="50" spans="1:12" ht="12.75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6"/>
    </row>
    <row r="51" spans="1:12" ht="12.75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6"/>
    </row>
    <row r="52" spans="1:12" ht="12.75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6"/>
    </row>
    <row r="53" spans="1:12" ht="12.75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6"/>
    </row>
    <row r="54" spans="1:12" ht="12.75">
      <c r="A54" s="84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6"/>
    </row>
    <row r="55" spans="1:12" ht="12.75">
      <c r="A55" s="84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6"/>
    </row>
    <row r="56" spans="1:12" ht="12.75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6"/>
    </row>
    <row r="57" spans="1:12" ht="12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6"/>
    </row>
    <row r="58" spans="1:12" ht="12.75">
      <c r="A58" s="8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6"/>
    </row>
    <row r="59" spans="1:12" ht="12.75">
      <c r="A59" s="84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6"/>
    </row>
    <row r="60" spans="1:12" ht="12.75">
      <c r="A60" s="84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6"/>
    </row>
    <row r="61" spans="1:12" ht="12.75">
      <c r="A61" s="84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6"/>
    </row>
    <row r="62" spans="1:12" ht="12.75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6"/>
    </row>
    <row r="63" spans="1:12" ht="12.75">
      <c r="A63" s="84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6"/>
    </row>
    <row r="64" spans="1:12" ht="12.75">
      <c r="A64" s="84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6"/>
    </row>
    <row r="65" spans="1:12" ht="12.75">
      <c r="A65" s="8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6"/>
    </row>
    <row r="66" spans="1:12" ht="12.75">
      <c r="A66" s="84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6"/>
    </row>
    <row r="67" spans="1:12" ht="12.75">
      <c r="A67" s="84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6"/>
    </row>
    <row r="68" spans="1:12" ht="12.75">
      <c r="A68" s="84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6"/>
    </row>
    <row r="69" spans="1:12" ht="12.75">
      <c r="A69" s="84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6"/>
    </row>
    <row r="70" spans="1:12" ht="13.5" thickBot="1">
      <c r="A70" s="87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9"/>
    </row>
    <row r="71" spans="1:12" ht="12.75">
      <c r="A71" s="80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80"/>
    </row>
    <row r="72" spans="1:12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1:12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</sheetData>
  <sheetProtection/>
  <printOptions/>
  <pageMargins left="0.787401575" right="0.787401575" top="1.09" bottom="0.65" header="0.492125985" footer="0.492125985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="124" zoomScaleNormal="124" zoomScalePageLayoutView="0" workbookViewId="0" topLeftCell="A64">
      <selection activeCell="B72" sqref="B72"/>
    </sheetView>
  </sheetViews>
  <sheetFormatPr defaultColWidth="9.140625" defaultRowHeight="12.75"/>
  <cols>
    <col min="1" max="1" width="4.57421875" style="0" customWidth="1"/>
    <col min="2" max="2" width="10.140625" style="19" customWidth="1"/>
    <col min="3" max="3" width="4.57421875" style="0" customWidth="1"/>
    <col min="5" max="5" width="10.421875" style="0" customWidth="1"/>
    <col min="6" max="6" width="10.00390625" style="0" customWidth="1"/>
    <col min="8" max="8" width="8.00390625" style="0" customWidth="1"/>
    <col min="9" max="9" width="19.8515625" style="0" customWidth="1"/>
    <col min="10" max="10" width="10.421875" style="0" bestFit="1" customWidth="1"/>
    <col min="11" max="11" width="10.140625" style="0" bestFit="1" customWidth="1"/>
  </cols>
  <sheetData>
    <row r="1" spans="1:10" ht="15" customHeight="1">
      <c r="A1" s="137" t="s">
        <v>37</v>
      </c>
      <c r="B1" s="138"/>
      <c r="C1" s="138"/>
      <c r="D1" s="138"/>
      <c r="E1" s="138"/>
      <c r="F1" s="138"/>
      <c r="G1" s="139"/>
      <c r="H1" s="140" t="s">
        <v>49</v>
      </c>
      <c r="I1" s="141"/>
      <c r="J1" s="32"/>
    </row>
    <row r="2" spans="1:10" ht="12.75">
      <c r="A2" s="142" t="s">
        <v>87</v>
      </c>
      <c r="B2" s="143"/>
      <c r="C2" s="143"/>
      <c r="D2" s="143"/>
      <c r="E2" s="143"/>
      <c r="F2" s="143"/>
      <c r="G2" s="144"/>
      <c r="H2" s="145" t="s">
        <v>16</v>
      </c>
      <c r="I2" s="146"/>
      <c r="J2" s="32"/>
    </row>
    <row r="3" spans="1:10" ht="12.75">
      <c r="A3" s="147"/>
      <c r="B3" s="148"/>
      <c r="C3" s="148"/>
      <c r="D3" s="148"/>
      <c r="E3" s="148"/>
      <c r="F3" s="148"/>
      <c r="G3" s="148"/>
      <c r="H3" s="148"/>
      <c r="I3" s="149"/>
      <c r="J3" s="32"/>
    </row>
    <row r="4" spans="1:10" ht="15" customHeight="1">
      <c r="A4" s="150" t="s">
        <v>38</v>
      </c>
      <c r="B4" s="151"/>
      <c r="C4" s="151"/>
      <c r="D4" s="151"/>
      <c r="E4" s="151"/>
      <c r="F4" s="151"/>
      <c r="G4" s="151"/>
      <c r="H4" s="151"/>
      <c r="I4" s="152"/>
      <c r="J4" s="32"/>
    </row>
    <row r="5" spans="1:10" ht="12.75" customHeight="1">
      <c r="A5" s="153" t="s">
        <v>94</v>
      </c>
      <c r="B5" s="154"/>
      <c r="C5" s="155"/>
      <c r="D5" s="155"/>
      <c r="E5" s="155"/>
      <c r="F5" s="155"/>
      <c r="G5" s="155"/>
      <c r="H5" s="155"/>
      <c r="I5" s="156"/>
      <c r="J5" s="32"/>
    </row>
    <row r="6" spans="1:10" ht="12" customHeight="1">
      <c r="A6" s="153" t="s">
        <v>96</v>
      </c>
      <c r="B6" s="154"/>
      <c r="C6" s="155"/>
      <c r="D6" s="155"/>
      <c r="E6" s="155"/>
      <c r="F6" s="155"/>
      <c r="G6" s="155"/>
      <c r="H6" s="155"/>
      <c r="I6" s="156"/>
      <c r="J6" s="32"/>
    </row>
    <row r="7" spans="1:10" ht="12" customHeight="1">
      <c r="A7" s="153" t="s">
        <v>95</v>
      </c>
      <c r="B7" s="154"/>
      <c r="C7" s="155"/>
      <c r="D7" s="155"/>
      <c r="E7" s="155"/>
      <c r="F7" s="155"/>
      <c r="G7" s="155"/>
      <c r="H7" s="155"/>
      <c r="I7" s="156"/>
      <c r="J7" s="32"/>
    </row>
    <row r="8" spans="1:10" ht="25.5" customHeight="1">
      <c r="A8" s="99" t="s">
        <v>97</v>
      </c>
      <c r="B8" s="100"/>
      <c r="C8" s="100"/>
      <c r="D8" s="100"/>
      <c r="E8" s="100"/>
      <c r="F8" s="100"/>
      <c r="G8" s="100"/>
      <c r="H8" s="100"/>
      <c r="I8" s="101"/>
      <c r="J8" s="32"/>
    </row>
    <row r="9" spans="1:10" ht="12.75">
      <c r="A9" s="8" t="s">
        <v>2</v>
      </c>
      <c r="B9" s="91"/>
      <c r="C9" s="17" t="s">
        <v>39</v>
      </c>
      <c r="D9" s="3" t="s">
        <v>50</v>
      </c>
      <c r="E9" s="4"/>
      <c r="F9" s="4"/>
      <c r="G9" s="4"/>
      <c r="H9" s="4"/>
      <c r="I9" s="10"/>
      <c r="J9" s="32"/>
    </row>
    <row r="10" spans="1:10" ht="12.75">
      <c r="A10" s="8" t="s">
        <v>3</v>
      </c>
      <c r="B10" s="91"/>
      <c r="C10" s="17" t="s">
        <v>39</v>
      </c>
      <c r="D10" s="1" t="s">
        <v>51</v>
      </c>
      <c r="E10" s="2"/>
      <c r="F10" s="2"/>
      <c r="G10" s="2"/>
      <c r="H10" s="2"/>
      <c r="I10" s="9"/>
      <c r="J10" s="32"/>
    </row>
    <row r="11" spans="1:10" ht="12.75">
      <c r="A11" s="8" t="s">
        <v>1</v>
      </c>
      <c r="B11" s="26"/>
      <c r="C11" s="17" t="s">
        <v>69</v>
      </c>
      <c r="D11" s="96" t="s">
        <v>25</v>
      </c>
      <c r="E11" s="97"/>
      <c r="F11" s="97"/>
      <c r="G11" s="97"/>
      <c r="H11" s="97"/>
      <c r="I11" s="98"/>
      <c r="J11" s="32"/>
    </row>
    <row r="12" spans="1:10" ht="12.75">
      <c r="A12" s="8" t="s">
        <v>24</v>
      </c>
      <c r="B12" s="92"/>
      <c r="C12" s="17" t="s">
        <v>43</v>
      </c>
      <c r="D12" s="132" t="s">
        <v>52</v>
      </c>
      <c r="E12" s="133"/>
      <c r="F12" s="133"/>
      <c r="G12" s="133"/>
      <c r="H12" s="133"/>
      <c r="I12" s="134"/>
      <c r="J12" s="32"/>
    </row>
    <row r="13" spans="1:10" ht="12.75">
      <c r="A13" s="8" t="s">
        <v>18</v>
      </c>
      <c r="B13" s="16">
        <f>((B9-B10)/2)</f>
        <v>0</v>
      </c>
      <c r="C13" s="17" t="s">
        <v>39</v>
      </c>
      <c r="D13" s="132" t="s">
        <v>53</v>
      </c>
      <c r="E13" s="133"/>
      <c r="F13" s="133"/>
      <c r="G13" s="133"/>
      <c r="H13" s="133"/>
      <c r="I13" s="134"/>
      <c r="J13" s="32"/>
    </row>
    <row r="14" spans="1:10" ht="12.75">
      <c r="A14" s="8" t="s">
        <v>19</v>
      </c>
      <c r="B14" s="16">
        <f>+B13/2</f>
        <v>0</v>
      </c>
      <c r="C14" s="17" t="s">
        <v>39</v>
      </c>
      <c r="D14" s="129" t="s">
        <v>56</v>
      </c>
      <c r="E14" s="130"/>
      <c r="F14" s="130"/>
      <c r="G14" s="130"/>
      <c r="H14" s="130"/>
      <c r="I14" s="131"/>
      <c r="J14" s="32"/>
    </row>
    <row r="15" spans="1:10" ht="25.5" customHeight="1">
      <c r="A15" s="8" t="s">
        <v>17</v>
      </c>
      <c r="B15" s="16">
        <f>IF(B14&lt;=6,B14,0.5*SQRT(B14/25.4)*25.4)</f>
        <v>0</v>
      </c>
      <c r="C15" s="17" t="s">
        <v>39</v>
      </c>
      <c r="D15" s="102" t="s">
        <v>107</v>
      </c>
      <c r="E15" s="103"/>
      <c r="F15" s="103"/>
      <c r="G15" s="103"/>
      <c r="H15" s="103"/>
      <c r="I15" s="104"/>
      <c r="J15" s="32"/>
    </row>
    <row r="16" spans="1:10" ht="12.75" customHeight="1">
      <c r="A16" s="8" t="s">
        <v>23</v>
      </c>
      <c r="B16" s="16">
        <f>IF(B14&lt;=6,((B9+B10)/2),B9-(2*B15))</f>
        <v>0</v>
      </c>
      <c r="C16" s="17" t="s">
        <v>39</v>
      </c>
      <c r="D16" s="102" t="s">
        <v>88</v>
      </c>
      <c r="E16" s="103"/>
      <c r="F16" s="103"/>
      <c r="G16" s="103"/>
      <c r="H16" s="103"/>
      <c r="I16" s="104"/>
      <c r="J16" s="32"/>
    </row>
    <row r="17" spans="1:10" ht="12.75">
      <c r="A17" s="8" t="s">
        <v>21</v>
      </c>
      <c r="B17" s="20">
        <f>B12*0.785*B16*B16/1000000</f>
        <v>0</v>
      </c>
      <c r="C17" s="17" t="s">
        <v>89</v>
      </c>
      <c r="D17" s="102" t="s">
        <v>85</v>
      </c>
      <c r="E17" s="103"/>
      <c r="F17" s="103"/>
      <c r="G17" s="103"/>
      <c r="H17" s="103"/>
      <c r="I17" s="104"/>
      <c r="J17" s="32"/>
    </row>
    <row r="18" spans="1:10" ht="12.75">
      <c r="A18" s="8" t="s">
        <v>22</v>
      </c>
      <c r="B18" s="20">
        <f>B11*B12*2*B15*B16*3.14/1000000</f>
        <v>0</v>
      </c>
      <c r="C18" s="17" t="s">
        <v>89</v>
      </c>
      <c r="D18" s="102" t="s">
        <v>98</v>
      </c>
      <c r="E18" s="103"/>
      <c r="F18" s="103"/>
      <c r="G18" s="103"/>
      <c r="H18" s="103"/>
      <c r="I18" s="104"/>
      <c r="J18" s="32"/>
    </row>
    <row r="19" spans="1:10" ht="12.75">
      <c r="A19" s="15" t="s">
        <v>20</v>
      </c>
      <c r="B19" s="20">
        <f>B17+B18</f>
        <v>0</v>
      </c>
      <c r="C19" s="17" t="s">
        <v>89</v>
      </c>
      <c r="D19" s="102" t="s">
        <v>108</v>
      </c>
      <c r="E19" s="103"/>
      <c r="F19" s="103"/>
      <c r="G19" s="103"/>
      <c r="H19" s="103"/>
      <c r="I19" s="104"/>
      <c r="J19" s="32"/>
    </row>
    <row r="20" spans="1:10" ht="24" customHeight="1">
      <c r="A20" s="99" t="s">
        <v>99</v>
      </c>
      <c r="B20" s="100"/>
      <c r="C20" s="100"/>
      <c r="D20" s="100"/>
      <c r="E20" s="100"/>
      <c r="F20" s="100"/>
      <c r="G20" s="100"/>
      <c r="H20" s="100"/>
      <c r="I20" s="101"/>
      <c r="J20" s="32"/>
    </row>
    <row r="21" spans="1:10" ht="12.75">
      <c r="A21" s="8" t="s">
        <v>0</v>
      </c>
      <c r="B21" s="27"/>
      <c r="C21" s="17" t="s">
        <v>43</v>
      </c>
      <c r="D21" s="102" t="s">
        <v>100</v>
      </c>
      <c r="E21" s="103"/>
      <c r="F21" s="103"/>
      <c r="G21" s="103"/>
      <c r="H21" s="103"/>
      <c r="I21" s="104"/>
      <c r="J21" s="32"/>
    </row>
    <row r="22" spans="1:10" ht="12.75">
      <c r="A22" s="8" t="s">
        <v>26</v>
      </c>
      <c r="B22" s="20">
        <f>B15*B16*B21*3.14/1000000</f>
        <v>0</v>
      </c>
      <c r="C22" s="17" t="s">
        <v>89</v>
      </c>
      <c r="D22" s="102" t="s">
        <v>57</v>
      </c>
      <c r="E22" s="103"/>
      <c r="F22" s="103"/>
      <c r="G22" s="103"/>
      <c r="H22" s="103"/>
      <c r="I22" s="104"/>
      <c r="J22" s="32"/>
    </row>
    <row r="23" spans="1:11" ht="25.5" customHeight="1">
      <c r="A23" s="99" t="s">
        <v>109</v>
      </c>
      <c r="B23" s="100"/>
      <c r="C23" s="100"/>
      <c r="D23" s="100"/>
      <c r="E23" s="100"/>
      <c r="F23" s="100"/>
      <c r="G23" s="100"/>
      <c r="H23" s="100"/>
      <c r="I23" s="101"/>
      <c r="J23" s="33"/>
      <c r="K23" s="18"/>
    </row>
    <row r="24" spans="1:10" ht="12.75">
      <c r="A24" s="8" t="s">
        <v>6</v>
      </c>
      <c r="B24" s="26"/>
      <c r="C24" s="17" t="s">
        <v>44</v>
      </c>
      <c r="D24" s="129" t="s">
        <v>58</v>
      </c>
      <c r="E24" s="130"/>
      <c r="F24" s="130"/>
      <c r="G24" s="130"/>
      <c r="H24" s="130"/>
      <c r="I24" s="131"/>
      <c r="J24" s="32"/>
    </row>
    <row r="25" spans="1:10" ht="12.75">
      <c r="A25" s="8" t="s">
        <v>27</v>
      </c>
      <c r="B25" s="28"/>
      <c r="C25" s="17" t="s">
        <v>43</v>
      </c>
      <c r="D25" s="129" t="s">
        <v>59</v>
      </c>
      <c r="E25" s="130"/>
      <c r="F25" s="130"/>
      <c r="G25" s="130"/>
      <c r="H25" s="130"/>
      <c r="I25" s="131"/>
      <c r="J25" s="32"/>
    </row>
    <row r="26" spans="1:10" ht="12.75">
      <c r="A26" s="8" t="s">
        <v>28</v>
      </c>
      <c r="B26" s="28"/>
      <c r="C26" s="17" t="s">
        <v>43</v>
      </c>
      <c r="D26" s="129" t="s">
        <v>60</v>
      </c>
      <c r="E26" s="130"/>
      <c r="F26" s="130"/>
      <c r="G26" s="130"/>
      <c r="H26" s="130"/>
      <c r="I26" s="131"/>
      <c r="J26" s="32"/>
    </row>
    <row r="27" spans="1:10" ht="12.75">
      <c r="A27" s="8" t="s">
        <v>4</v>
      </c>
      <c r="B27" s="29"/>
      <c r="C27" s="17" t="s">
        <v>69</v>
      </c>
      <c r="D27" s="1" t="s">
        <v>14</v>
      </c>
      <c r="E27" s="2"/>
      <c r="F27" s="2"/>
      <c r="G27" s="2"/>
      <c r="H27" s="2"/>
      <c r="I27" s="9"/>
      <c r="J27" s="32"/>
    </row>
    <row r="28" spans="1:10" ht="12.75">
      <c r="A28" s="8" t="s">
        <v>66</v>
      </c>
      <c r="B28" s="30"/>
      <c r="C28" s="17" t="s">
        <v>91</v>
      </c>
      <c r="D28" s="129" t="s">
        <v>112</v>
      </c>
      <c r="E28" s="130"/>
      <c r="F28" s="130"/>
      <c r="G28" s="130"/>
      <c r="H28" s="130"/>
      <c r="I28" s="131"/>
      <c r="J28" s="32"/>
    </row>
    <row r="29" spans="1:10" ht="12.75">
      <c r="A29" s="8" t="s">
        <v>32</v>
      </c>
      <c r="B29" s="16">
        <f>+B28*B27</f>
        <v>0</v>
      </c>
      <c r="C29" s="17" t="s">
        <v>91</v>
      </c>
      <c r="D29" s="129" t="s">
        <v>67</v>
      </c>
      <c r="E29" s="130"/>
      <c r="F29" s="130"/>
      <c r="G29" s="130"/>
      <c r="H29" s="130"/>
      <c r="I29" s="131"/>
      <c r="J29" s="32"/>
    </row>
    <row r="30" spans="1:10" ht="12.75">
      <c r="A30" s="8" t="s">
        <v>29</v>
      </c>
      <c r="B30" s="16" t="e">
        <f>B19/B25*1000000</f>
        <v>#DIV/0!</v>
      </c>
      <c r="C30" s="17" t="s">
        <v>91</v>
      </c>
      <c r="D30" s="129" t="s">
        <v>63</v>
      </c>
      <c r="E30" s="130"/>
      <c r="F30" s="130"/>
      <c r="G30" s="130"/>
      <c r="H30" s="130"/>
      <c r="I30" s="131"/>
      <c r="J30" s="32"/>
    </row>
    <row r="31" spans="1:10" ht="12.75">
      <c r="A31" s="8" t="s">
        <v>30</v>
      </c>
      <c r="B31" s="16" t="e">
        <f>B22/B26*1000000</f>
        <v>#DIV/0!</v>
      </c>
      <c r="C31" s="17" t="s">
        <v>91</v>
      </c>
      <c r="D31" s="129" t="s">
        <v>64</v>
      </c>
      <c r="E31" s="130"/>
      <c r="F31" s="130"/>
      <c r="G31" s="130"/>
      <c r="H31" s="130"/>
      <c r="I31" s="131"/>
      <c r="J31" s="32"/>
    </row>
    <row r="32" spans="1:10" ht="12.75">
      <c r="A32" s="8" t="s">
        <v>31</v>
      </c>
      <c r="B32" s="16" t="e">
        <f>IF(B30&gt;B31,B30,B31)</f>
        <v>#DIV/0!</v>
      </c>
      <c r="C32" s="17" t="s">
        <v>91</v>
      </c>
      <c r="D32" s="129" t="s">
        <v>61</v>
      </c>
      <c r="E32" s="130"/>
      <c r="F32" s="130"/>
      <c r="G32" s="130"/>
      <c r="H32" s="130"/>
      <c r="I32" s="131"/>
      <c r="J32" s="32"/>
    </row>
    <row r="33" spans="1:10" ht="12.75">
      <c r="A33" s="8" t="s">
        <v>33</v>
      </c>
      <c r="B33" s="20" t="e">
        <f>0.5*(B32+B29)*B26/1000000</f>
        <v>#DIV/0!</v>
      </c>
      <c r="C33" s="17" t="s">
        <v>89</v>
      </c>
      <c r="D33" s="129" t="s">
        <v>62</v>
      </c>
      <c r="E33" s="130"/>
      <c r="F33" s="130"/>
      <c r="G33" s="130"/>
      <c r="H33" s="130"/>
      <c r="I33" s="131"/>
      <c r="J33" s="32"/>
    </row>
    <row r="34" spans="1:10" ht="12.75">
      <c r="A34" s="8" t="s">
        <v>34</v>
      </c>
      <c r="B34" s="20">
        <f>B19</f>
        <v>0</v>
      </c>
      <c r="C34" s="17" t="s">
        <v>89</v>
      </c>
      <c r="D34" s="129" t="s">
        <v>20</v>
      </c>
      <c r="E34" s="130"/>
      <c r="F34" s="130"/>
      <c r="G34" s="130"/>
      <c r="H34" s="130"/>
      <c r="I34" s="131"/>
      <c r="J34" s="32"/>
    </row>
    <row r="35" spans="1:10" ht="12.75">
      <c r="A35" s="8" t="s">
        <v>35</v>
      </c>
      <c r="B35" s="20" t="e">
        <f>IF(B33&gt;B34,B33,B34)</f>
        <v>#DIV/0!</v>
      </c>
      <c r="C35" s="17" t="s">
        <v>89</v>
      </c>
      <c r="D35" s="12" t="s">
        <v>93</v>
      </c>
      <c r="E35" s="13"/>
      <c r="F35" s="13"/>
      <c r="G35" s="13"/>
      <c r="H35" s="13"/>
      <c r="I35" s="14"/>
      <c r="J35" s="32"/>
    </row>
    <row r="36" spans="1:10" ht="12.75">
      <c r="A36" s="8" t="s">
        <v>115</v>
      </c>
      <c r="B36" s="20" t="e">
        <f>B35/B27</f>
        <v>#DIV/0!</v>
      </c>
      <c r="C36" s="17" t="s">
        <v>89</v>
      </c>
      <c r="D36" s="102" t="s">
        <v>101</v>
      </c>
      <c r="E36" s="103"/>
      <c r="F36" s="103"/>
      <c r="G36" s="103"/>
      <c r="H36" s="103"/>
      <c r="I36" s="104"/>
      <c r="J36" s="32"/>
    </row>
    <row r="37" spans="1:10" ht="25.5" customHeight="1">
      <c r="A37" s="99" t="s">
        <v>119</v>
      </c>
      <c r="B37" s="100"/>
      <c r="C37" s="100"/>
      <c r="D37" s="100"/>
      <c r="E37" s="100"/>
      <c r="F37" s="100"/>
      <c r="G37" s="100"/>
      <c r="H37" s="100"/>
      <c r="I37" s="101"/>
      <c r="J37" s="32"/>
    </row>
    <row r="38" spans="1:10" ht="12.75">
      <c r="A38" s="8" t="s">
        <v>36</v>
      </c>
      <c r="B38" s="27"/>
      <c r="C38" s="17" t="s">
        <v>43</v>
      </c>
      <c r="D38" s="125" t="s">
        <v>76</v>
      </c>
      <c r="E38" s="125"/>
      <c r="F38" s="125"/>
      <c r="G38" s="125"/>
      <c r="H38" s="125"/>
      <c r="I38" s="126"/>
      <c r="J38" s="32"/>
    </row>
    <row r="39" spans="1:10" ht="12.75">
      <c r="A39" s="8" t="s">
        <v>116</v>
      </c>
      <c r="B39" s="21">
        <f>B15*B16*B38*3.14/1000000</f>
        <v>0</v>
      </c>
      <c r="C39" s="17" t="s">
        <v>89</v>
      </c>
      <c r="D39" s="123" t="s">
        <v>75</v>
      </c>
      <c r="E39" s="123"/>
      <c r="F39" s="123"/>
      <c r="G39" s="123"/>
      <c r="H39" s="123"/>
      <c r="I39" s="124"/>
      <c r="J39" s="32"/>
    </row>
    <row r="40" spans="1:10" ht="12.75">
      <c r="A40" s="8" t="s">
        <v>117</v>
      </c>
      <c r="B40" s="21" t="e">
        <f>B39/B27</f>
        <v>#DIV/0!</v>
      </c>
      <c r="C40" s="17" t="s">
        <v>89</v>
      </c>
      <c r="D40" s="123" t="s">
        <v>118</v>
      </c>
      <c r="E40" s="123"/>
      <c r="F40" s="123"/>
      <c r="G40" s="123"/>
      <c r="H40" s="123"/>
      <c r="I40" s="124"/>
      <c r="J40" s="32"/>
    </row>
    <row r="41" spans="1:10" ht="25.5" customHeight="1">
      <c r="A41" s="99" t="s">
        <v>121</v>
      </c>
      <c r="B41" s="100"/>
      <c r="C41" s="100"/>
      <c r="D41" s="100"/>
      <c r="E41" s="100"/>
      <c r="F41" s="100"/>
      <c r="G41" s="100"/>
      <c r="H41" s="100"/>
      <c r="I41" s="101"/>
      <c r="J41" s="32"/>
    </row>
    <row r="42" spans="1:10" ht="13.5" customHeight="1">
      <c r="A42" s="127" t="s">
        <v>120</v>
      </c>
      <c r="B42" s="128"/>
      <c r="C42" s="128"/>
      <c r="D42" s="120" t="e">
        <f>+IF(B36&lt;B40,"OK, a junta de vedação resiste ao esmagamento nas condições de projeto","Reanalisar, a Junta de Vedação não resiste ao esmagamento")</f>
        <v>#DIV/0!</v>
      </c>
      <c r="E42" s="121"/>
      <c r="F42" s="121"/>
      <c r="G42" s="121"/>
      <c r="H42" s="121"/>
      <c r="I42" s="122"/>
      <c r="J42" s="32"/>
    </row>
    <row r="43" spans="1:10" ht="25.5" customHeight="1">
      <c r="A43" s="99" t="s">
        <v>122</v>
      </c>
      <c r="B43" s="100"/>
      <c r="C43" s="100"/>
      <c r="D43" s="100"/>
      <c r="E43" s="100"/>
      <c r="F43" s="100"/>
      <c r="G43" s="100"/>
      <c r="H43" s="100"/>
      <c r="I43" s="101"/>
      <c r="J43" s="32"/>
    </row>
    <row r="44" spans="1:10" ht="12.75">
      <c r="A44" s="8" t="s">
        <v>15</v>
      </c>
      <c r="B44" s="27"/>
      <c r="C44" s="17" t="s">
        <v>43</v>
      </c>
      <c r="D44" s="125" t="s">
        <v>102</v>
      </c>
      <c r="E44" s="125"/>
      <c r="F44" s="125"/>
      <c r="G44" s="125"/>
      <c r="H44" s="125"/>
      <c r="I44" s="126"/>
      <c r="J44" s="32"/>
    </row>
    <row r="45" spans="1:10" ht="12.75">
      <c r="A45" s="8" t="s">
        <v>140</v>
      </c>
      <c r="B45" s="22">
        <f>+B44*0.5</f>
        <v>0</v>
      </c>
      <c r="C45" s="17" t="s">
        <v>43</v>
      </c>
      <c r="D45" s="123" t="s">
        <v>77</v>
      </c>
      <c r="E45" s="123"/>
      <c r="F45" s="123"/>
      <c r="G45" s="123"/>
      <c r="H45" s="123"/>
      <c r="I45" s="124"/>
      <c r="J45" s="32"/>
    </row>
    <row r="46" spans="1:10" ht="12.75">
      <c r="A46" s="8" t="s">
        <v>123</v>
      </c>
      <c r="B46" s="21">
        <f>+B45*B28/1000000</f>
        <v>0</v>
      </c>
      <c r="C46" s="17" t="s">
        <v>89</v>
      </c>
      <c r="D46" s="123" t="s">
        <v>141</v>
      </c>
      <c r="E46" s="123"/>
      <c r="F46" s="123"/>
      <c r="G46" s="123"/>
      <c r="H46" s="123"/>
      <c r="I46" s="124"/>
      <c r="J46" s="34" t="e">
        <f>+B46-((3.14*B16*B16/4)*B12/B27/1000000)</f>
        <v>#DIV/0!</v>
      </c>
    </row>
    <row r="47" spans="1:10" ht="25.5" customHeight="1">
      <c r="A47" s="99" t="s">
        <v>124</v>
      </c>
      <c r="B47" s="100"/>
      <c r="C47" s="100"/>
      <c r="D47" s="100"/>
      <c r="E47" s="100"/>
      <c r="F47" s="100"/>
      <c r="G47" s="100"/>
      <c r="H47" s="100"/>
      <c r="I47" s="101"/>
      <c r="J47" s="32"/>
    </row>
    <row r="48" spans="1:10" ht="25.5" customHeight="1">
      <c r="A48" s="111" t="s">
        <v>135</v>
      </c>
      <c r="B48" s="112"/>
      <c r="C48" s="113"/>
      <c r="D48" s="102" t="e">
        <f>+IF(B46&lt;B40,"OK, a junta de vedação resiste ao esmagamento na força correspondente a 50% da tensão de escoamento a frio","Reanalisar")</f>
        <v>#DIV/0!</v>
      </c>
      <c r="E48" s="103"/>
      <c r="F48" s="103"/>
      <c r="G48" s="103"/>
      <c r="H48" s="103"/>
      <c r="I48" s="104"/>
      <c r="J48" s="32"/>
    </row>
    <row r="49" spans="1:10" ht="25.5" customHeight="1">
      <c r="A49" s="99" t="s">
        <v>125</v>
      </c>
      <c r="B49" s="100"/>
      <c r="C49" s="100"/>
      <c r="D49" s="100"/>
      <c r="E49" s="100"/>
      <c r="F49" s="100"/>
      <c r="G49" s="100"/>
      <c r="H49" s="100"/>
      <c r="I49" s="101"/>
      <c r="J49" s="32"/>
    </row>
    <row r="50" spans="1:10" ht="12.75">
      <c r="A50" s="8" t="s">
        <v>105</v>
      </c>
      <c r="B50" s="27"/>
      <c r="C50" s="17" t="s">
        <v>43</v>
      </c>
      <c r="D50" s="102" t="s">
        <v>114</v>
      </c>
      <c r="E50" s="103"/>
      <c r="F50" s="103"/>
      <c r="G50" s="103"/>
      <c r="H50" s="103"/>
      <c r="I50" s="104"/>
      <c r="J50" s="32"/>
    </row>
    <row r="51" spans="1:10" ht="13.5" customHeight="1">
      <c r="A51" s="8" t="s">
        <v>106</v>
      </c>
      <c r="B51" s="21">
        <f>+B50*B28/1000000</f>
        <v>0</v>
      </c>
      <c r="C51" s="17" t="s">
        <v>89</v>
      </c>
      <c r="D51" s="102" t="s">
        <v>113</v>
      </c>
      <c r="E51" s="103"/>
      <c r="F51" s="103"/>
      <c r="G51" s="103"/>
      <c r="H51" s="103"/>
      <c r="I51" s="104"/>
      <c r="J51" s="32"/>
    </row>
    <row r="52" spans="1:10" ht="25.5" customHeight="1">
      <c r="A52" s="99" t="s">
        <v>126</v>
      </c>
      <c r="B52" s="100"/>
      <c r="C52" s="100"/>
      <c r="D52" s="100"/>
      <c r="E52" s="100"/>
      <c r="F52" s="100"/>
      <c r="G52" s="100"/>
      <c r="H52" s="100"/>
      <c r="I52" s="101"/>
      <c r="J52" s="32"/>
    </row>
    <row r="53" spans="1:10" ht="25.5" customHeight="1">
      <c r="A53" s="111" t="s">
        <v>136</v>
      </c>
      <c r="B53" s="112"/>
      <c r="C53" s="113"/>
      <c r="D53" s="117" t="str">
        <f>+IF(B46&lt;B51,"OK, a força a 50% da tensão de escoamento a frio é menor do que da tensão de escoamento na temperatura de projeto","Reanalisar")</f>
        <v>Reanalisar</v>
      </c>
      <c r="E53" s="118"/>
      <c r="F53" s="118"/>
      <c r="G53" s="118"/>
      <c r="H53" s="118"/>
      <c r="I53" s="119"/>
      <c r="J53" s="32"/>
    </row>
    <row r="54" spans="1:10" ht="25.5" customHeight="1">
      <c r="A54" s="114" t="s">
        <v>127</v>
      </c>
      <c r="B54" s="115"/>
      <c r="C54" s="115"/>
      <c r="D54" s="115"/>
      <c r="E54" s="115"/>
      <c r="F54" s="115"/>
      <c r="G54" s="115"/>
      <c r="H54" s="115"/>
      <c r="I54" s="116"/>
      <c r="J54" s="32"/>
    </row>
    <row r="55" spans="1:10" ht="15" customHeight="1">
      <c r="A55" s="8" t="s">
        <v>129</v>
      </c>
      <c r="B55" s="21" t="e">
        <f>+((3.14*B16*B16/4*B12)/B27)/1000000</f>
        <v>#DIV/0!</v>
      </c>
      <c r="C55" s="17" t="s">
        <v>89</v>
      </c>
      <c r="D55" s="102" t="s">
        <v>130</v>
      </c>
      <c r="E55" s="103"/>
      <c r="F55" s="103"/>
      <c r="G55" s="103"/>
      <c r="H55" s="103"/>
      <c r="I55" s="104"/>
      <c r="J55" s="32"/>
    </row>
    <row r="56" spans="1:10" ht="15" customHeight="1">
      <c r="A56" s="8" t="s">
        <v>111</v>
      </c>
      <c r="B56" s="21" t="e">
        <f>+B55+B46</f>
        <v>#DIV/0!</v>
      </c>
      <c r="C56" s="17" t="s">
        <v>89</v>
      </c>
      <c r="D56" s="102" t="s">
        <v>131</v>
      </c>
      <c r="E56" s="103"/>
      <c r="F56" s="103"/>
      <c r="G56" s="103"/>
      <c r="H56" s="103"/>
      <c r="I56" s="104"/>
      <c r="J56" s="32"/>
    </row>
    <row r="57" spans="1:10" ht="36.75" customHeight="1">
      <c r="A57" s="114" t="s">
        <v>128</v>
      </c>
      <c r="B57" s="115"/>
      <c r="C57" s="115"/>
      <c r="D57" s="115"/>
      <c r="E57" s="115"/>
      <c r="F57" s="115"/>
      <c r="G57" s="115"/>
      <c r="H57" s="115"/>
      <c r="I57" s="116"/>
      <c r="J57" s="32"/>
    </row>
    <row r="58" spans="1:10" ht="37.5" customHeight="1">
      <c r="A58" s="111" t="s">
        <v>137</v>
      </c>
      <c r="B58" s="112"/>
      <c r="C58" s="113"/>
      <c r="D58" s="117" t="e">
        <f>+IF(B56&lt;B51,"OK, a força no parafuso, em operação, resultante da pressão interna mais a tensão de aperto c/ base em 50% da tensão de escoamento a frio é menor do que a força na tensão de escoamento na temperatura de projeto. Valor a ser adotado = Fy50% ","A força no parafuso, em operação, resultante da pressão interna mais a tensão de aperto c/ base em 50% da tensão de escoamento a frio é maior do que a força na tensão de escoamento na temperatura de projeto. Valor a ser adotado = Fyop - Fpi ")</f>
        <v>#DIV/0!</v>
      </c>
      <c r="E58" s="118"/>
      <c r="F58" s="118"/>
      <c r="G58" s="118"/>
      <c r="H58" s="118"/>
      <c r="I58" s="119"/>
      <c r="J58" s="32"/>
    </row>
    <row r="59" spans="1:10" ht="13.5" customHeight="1">
      <c r="A59" s="111" t="s">
        <v>133</v>
      </c>
      <c r="B59" s="112"/>
      <c r="C59" s="113"/>
      <c r="D59" s="90" t="e">
        <f>+IF(B56&lt;B51,B46,B51-B55)</f>
        <v>#DIV/0!</v>
      </c>
      <c r="E59" s="135" t="s">
        <v>89</v>
      </c>
      <c r="F59" s="135"/>
      <c r="G59" s="135"/>
      <c r="H59" s="135"/>
      <c r="I59" s="136"/>
      <c r="J59" s="32"/>
    </row>
    <row r="60" spans="1:10" ht="25.5" customHeight="1">
      <c r="A60" s="99" t="s">
        <v>132</v>
      </c>
      <c r="B60" s="100"/>
      <c r="C60" s="100"/>
      <c r="D60" s="100"/>
      <c r="E60" s="100"/>
      <c r="F60" s="100"/>
      <c r="G60" s="100"/>
      <c r="H60" s="100"/>
      <c r="I60" s="101"/>
      <c r="J60" s="32"/>
    </row>
    <row r="61" spans="1:10" ht="25.5" customHeight="1">
      <c r="A61" s="111" t="s">
        <v>138</v>
      </c>
      <c r="B61" s="112"/>
      <c r="C61" s="113"/>
      <c r="D61" s="117" t="e">
        <f>+IF(D59&gt;B36,"Ok, a força a ser adotada é maior do que a força mínima requerida pelo APPENDIX 2 ASME VIII Division 1, nas condições de projeto","Reanalisar o projeto da junta flangeada porque a força calculada nos parafusos é menor do que a força mínima requerida pelo APPENDIX 2 ASME VIII Division 1")</f>
        <v>#DIV/0!</v>
      </c>
      <c r="E61" s="118"/>
      <c r="F61" s="118"/>
      <c r="G61" s="118"/>
      <c r="H61" s="118"/>
      <c r="I61" s="119"/>
      <c r="J61" s="32"/>
    </row>
    <row r="62" spans="1:10" ht="25.5" customHeight="1">
      <c r="A62" s="99" t="s">
        <v>134</v>
      </c>
      <c r="B62" s="100"/>
      <c r="C62" s="100"/>
      <c r="D62" s="100"/>
      <c r="E62" s="100"/>
      <c r="F62" s="100"/>
      <c r="G62" s="100"/>
      <c r="H62" s="100"/>
      <c r="I62" s="101"/>
      <c r="J62" s="32"/>
    </row>
    <row r="63" spans="1:10" ht="12.75">
      <c r="A63" s="8" t="s">
        <v>5</v>
      </c>
      <c r="B63" s="93"/>
      <c r="C63" s="17" t="s">
        <v>41</v>
      </c>
      <c r="D63" s="1" t="s">
        <v>70</v>
      </c>
      <c r="E63" s="2"/>
      <c r="F63" s="2"/>
      <c r="G63" s="2"/>
      <c r="H63" s="2"/>
      <c r="I63" s="9"/>
      <c r="J63" s="32"/>
    </row>
    <row r="64" spans="1:10" ht="21.75" customHeight="1">
      <c r="A64" s="8" t="s">
        <v>8</v>
      </c>
      <c r="B64" s="26"/>
      <c r="C64" s="17" t="s">
        <v>69</v>
      </c>
      <c r="D64" s="102" t="s">
        <v>79</v>
      </c>
      <c r="E64" s="103"/>
      <c r="F64" s="103"/>
      <c r="G64" s="103"/>
      <c r="H64" s="103"/>
      <c r="I64" s="104"/>
      <c r="J64" s="32"/>
    </row>
    <row r="65" spans="1:10" ht="23.25" customHeight="1">
      <c r="A65" s="8" t="s">
        <v>10</v>
      </c>
      <c r="B65" s="26"/>
      <c r="C65" s="17" t="s">
        <v>69</v>
      </c>
      <c r="D65" s="102" t="s">
        <v>78</v>
      </c>
      <c r="E65" s="103"/>
      <c r="F65" s="103"/>
      <c r="G65" s="103"/>
      <c r="H65" s="103"/>
      <c r="I65" s="104"/>
      <c r="J65" s="32"/>
    </row>
    <row r="66" spans="1:10" ht="22.5" customHeight="1">
      <c r="A66" s="8" t="s">
        <v>9</v>
      </c>
      <c r="B66" s="26"/>
      <c r="C66" s="17" t="s">
        <v>39</v>
      </c>
      <c r="D66" s="102" t="s">
        <v>81</v>
      </c>
      <c r="E66" s="103"/>
      <c r="F66" s="103"/>
      <c r="G66" s="103"/>
      <c r="H66" s="103"/>
      <c r="I66" s="104"/>
      <c r="J66" s="32"/>
    </row>
    <row r="67" spans="1:10" ht="12.75">
      <c r="A67" s="8" t="s">
        <v>144</v>
      </c>
      <c r="B67" s="26"/>
      <c r="C67" s="17" t="s">
        <v>45</v>
      </c>
      <c r="D67" s="96" t="s">
        <v>71</v>
      </c>
      <c r="E67" s="97"/>
      <c r="F67" s="97"/>
      <c r="G67" s="97"/>
      <c r="H67" s="97"/>
      <c r="I67" s="98"/>
      <c r="J67" s="32"/>
    </row>
    <row r="68" spans="1:10" ht="12.75">
      <c r="A68" s="8" t="s">
        <v>143</v>
      </c>
      <c r="B68" s="7"/>
      <c r="C68" s="17" t="s">
        <v>47</v>
      </c>
      <c r="D68" s="96" t="s">
        <v>72</v>
      </c>
      <c r="E68" s="97"/>
      <c r="F68" s="97"/>
      <c r="G68" s="97"/>
      <c r="H68" s="97"/>
      <c r="I68" s="98"/>
      <c r="J68" s="32"/>
    </row>
    <row r="69" spans="1:10" ht="12.75">
      <c r="A69" s="8"/>
      <c r="B69" s="26"/>
      <c r="C69" s="17" t="s">
        <v>46</v>
      </c>
      <c r="D69" s="96" t="s">
        <v>80</v>
      </c>
      <c r="E69" s="97"/>
      <c r="F69" s="97"/>
      <c r="G69" s="97"/>
      <c r="H69" s="97"/>
      <c r="I69" s="98"/>
      <c r="J69" s="32"/>
    </row>
    <row r="70" spans="1:10" ht="12.75">
      <c r="A70" s="8"/>
      <c r="B70" s="94"/>
      <c r="C70" s="17" t="s">
        <v>39</v>
      </c>
      <c r="D70" s="96" t="s">
        <v>73</v>
      </c>
      <c r="E70" s="97"/>
      <c r="F70" s="97"/>
      <c r="G70" s="97"/>
      <c r="H70" s="97"/>
      <c r="I70" s="98"/>
      <c r="J70" s="32"/>
    </row>
    <row r="71" spans="1:10" ht="12.75">
      <c r="A71" s="8" t="s">
        <v>13</v>
      </c>
      <c r="B71" s="7"/>
      <c r="C71" s="17" t="s">
        <v>39</v>
      </c>
      <c r="D71" s="96" t="s">
        <v>82</v>
      </c>
      <c r="E71" s="97"/>
      <c r="F71" s="97"/>
      <c r="G71" s="97"/>
      <c r="H71" s="97"/>
      <c r="I71" s="98"/>
      <c r="J71" s="32"/>
    </row>
    <row r="72" spans="1:10" ht="21.75" customHeight="1">
      <c r="A72" s="8" t="s">
        <v>7</v>
      </c>
      <c r="B72" s="5">
        <f>(B70+B63*25.4)/2</f>
        <v>0</v>
      </c>
      <c r="C72" s="17" t="s">
        <v>39</v>
      </c>
      <c r="D72" s="108" t="s">
        <v>83</v>
      </c>
      <c r="E72" s="109"/>
      <c r="F72" s="109"/>
      <c r="G72" s="109"/>
      <c r="H72" s="109"/>
      <c r="I72" s="110"/>
      <c r="J72" s="32"/>
    </row>
    <row r="73" spans="1:10" ht="12.75">
      <c r="A73" s="8" t="s">
        <v>12</v>
      </c>
      <c r="B73" s="7" t="e">
        <f>ATAN(B71/(PI()*B66))</f>
        <v>#DIV/0!</v>
      </c>
      <c r="C73" s="17" t="s">
        <v>47</v>
      </c>
      <c r="D73" s="96" t="s">
        <v>74</v>
      </c>
      <c r="E73" s="97"/>
      <c r="F73" s="97"/>
      <c r="G73" s="97"/>
      <c r="H73" s="97"/>
      <c r="I73" s="98"/>
      <c r="J73" s="32"/>
    </row>
    <row r="74" spans="1:10" ht="13.5" thickBot="1">
      <c r="A74" s="11" t="s">
        <v>6</v>
      </c>
      <c r="B74" s="25" t="e">
        <f>((D59/2)*1000*((B72*B64)+(B66)*((B65+(COS(B68)*TAN(B73)))/(COS(B68)-(B65*TAN(B73))))))/1000</f>
        <v>#DIV/0!</v>
      </c>
      <c r="C74" s="24" t="s">
        <v>92</v>
      </c>
      <c r="D74" s="105" t="s">
        <v>145</v>
      </c>
      <c r="E74" s="106"/>
      <c r="F74" s="106"/>
      <c r="G74" s="106"/>
      <c r="H74" s="106"/>
      <c r="I74" s="107"/>
      <c r="J74" s="32"/>
    </row>
  </sheetData>
  <sheetProtection/>
  <mergeCells count="80">
    <mergeCell ref="A4:I4"/>
    <mergeCell ref="A5:B5"/>
    <mergeCell ref="C5:I5"/>
    <mergeCell ref="A8:I8"/>
    <mergeCell ref="D11:I11"/>
    <mergeCell ref="D12:I12"/>
    <mergeCell ref="A6:B6"/>
    <mergeCell ref="C6:I6"/>
    <mergeCell ref="A7:B7"/>
    <mergeCell ref="C7:I7"/>
    <mergeCell ref="D13:I13"/>
    <mergeCell ref="D14:I14"/>
    <mergeCell ref="E59:I59"/>
    <mergeCell ref="A1:G1"/>
    <mergeCell ref="H1:I1"/>
    <mergeCell ref="A2:G2"/>
    <mergeCell ref="H2:I2"/>
    <mergeCell ref="A3:I3"/>
    <mergeCell ref="D19:I19"/>
    <mergeCell ref="A20:I20"/>
    <mergeCell ref="D21:I21"/>
    <mergeCell ref="D22:I22"/>
    <mergeCell ref="D15:I15"/>
    <mergeCell ref="D16:I16"/>
    <mergeCell ref="D17:I17"/>
    <mergeCell ref="D18:I18"/>
    <mergeCell ref="D28:I28"/>
    <mergeCell ref="D29:I29"/>
    <mergeCell ref="D30:I30"/>
    <mergeCell ref="D31:I31"/>
    <mergeCell ref="A23:I23"/>
    <mergeCell ref="D24:I24"/>
    <mergeCell ref="D25:I25"/>
    <mergeCell ref="D26:I26"/>
    <mergeCell ref="A37:I37"/>
    <mergeCell ref="D38:I38"/>
    <mergeCell ref="D39:I39"/>
    <mergeCell ref="D40:I40"/>
    <mergeCell ref="D32:I32"/>
    <mergeCell ref="D33:I33"/>
    <mergeCell ref="D34:I34"/>
    <mergeCell ref="D36:I36"/>
    <mergeCell ref="A41:I41"/>
    <mergeCell ref="D42:I42"/>
    <mergeCell ref="D46:I46"/>
    <mergeCell ref="A49:I49"/>
    <mergeCell ref="A47:I47"/>
    <mergeCell ref="A43:I43"/>
    <mergeCell ref="D44:I44"/>
    <mergeCell ref="D45:I45"/>
    <mergeCell ref="A42:C42"/>
    <mergeCell ref="D50:I50"/>
    <mergeCell ref="A53:C53"/>
    <mergeCell ref="D51:I51"/>
    <mergeCell ref="D48:I48"/>
    <mergeCell ref="A48:C48"/>
    <mergeCell ref="A52:I52"/>
    <mergeCell ref="D53:I53"/>
    <mergeCell ref="A61:C61"/>
    <mergeCell ref="A54:I54"/>
    <mergeCell ref="D56:I56"/>
    <mergeCell ref="A58:C58"/>
    <mergeCell ref="D61:I61"/>
    <mergeCell ref="A60:I60"/>
    <mergeCell ref="A57:I57"/>
    <mergeCell ref="D58:I58"/>
    <mergeCell ref="A59:C59"/>
    <mergeCell ref="D55:I55"/>
    <mergeCell ref="D73:I73"/>
    <mergeCell ref="D74:I74"/>
    <mergeCell ref="D69:I69"/>
    <mergeCell ref="D70:I70"/>
    <mergeCell ref="D71:I71"/>
    <mergeCell ref="D72:I72"/>
    <mergeCell ref="D67:I67"/>
    <mergeCell ref="D68:I68"/>
    <mergeCell ref="A62:I62"/>
    <mergeCell ref="D64:I64"/>
    <mergeCell ref="D65:I65"/>
    <mergeCell ref="D66:I66"/>
  </mergeCells>
  <printOptions/>
  <pageMargins left="0.8" right="0.59" top="0.53" bottom="0.54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124" zoomScaleNormal="124" zoomScalePageLayoutView="0" workbookViewId="0" topLeftCell="A55">
      <selection activeCell="D58" sqref="D58:I58"/>
    </sheetView>
  </sheetViews>
  <sheetFormatPr defaultColWidth="9.140625" defaultRowHeight="12.75"/>
  <cols>
    <col min="1" max="1" width="4.57421875" style="0" customWidth="1"/>
    <col min="2" max="2" width="10.00390625" style="19" bestFit="1" customWidth="1"/>
    <col min="3" max="3" width="4.57421875" style="0" customWidth="1"/>
    <col min="5" max="6" width="10.421875" style="0" customWidth="1"/>
    <col min="9" max="9" width="18.421875" style="0" customWidth="1"/>
  </cols>
  <sheetData>
    <row r="1" spans="1:9" ht="15" customHeight="1">
      <c r="A1" s="137" t="s">
        <v>37</v>
      </c>
      <c r="B1" s="138"/>
      <c r="C1" s="138"/>
      <c r="D1" s="138"/>
      <c r="E1" s="138"/>
      <c r="F1" s="138"/>
      <c r="G1" s="139"/>
      <c r="H1" s="140" t="s">
        <v>49</v>
      </c>
      <c r="I1" s="141"/>
    </row>
    <row r="2" spans="1:9" ht="12.75">
      <c r="A2" s="142" t="s">
        <v>86</v>
      </c>
      <c r="B2" s="143"/>
      <c r="C2" s="143"/>
      <c r="D2" s="143"/>
      <c r="E2" s="143"/>
      <c r="F2" s="143"/>
      <c r="G2" s="144"/>
      <c r="H2" s="145" t="s">
        <v>16</v>
      </c>
      <c r="I2" s="146"/>
    </row>
    <row r="3" spans="1:9" ht="12.75">
      <c r="A3" s="147"/>
      <c r="B3" s="148"/>
      <c r="C3" s="148"/>
      <c r="D3" s="148"/>
      <c r="E3" s="148"/>
      <c r="F3" s="148"/>
      <c r="G3" s="148"/>
      <c r="H3" s="148"/>
      <c r="I3" s="149"/>
    </row>
    <row r="4" spans="1:9" ht="15" thickBot="1">
      <c r="A4" s="160" t="s">
        <v>38</v>
      </c>
      <c r="B4" s="161"/>
      <c r="C4" s="161"/>
      <c r="D4" s="161"/>
      <c r="E4" s="161"/>
      <c r="F4" s="161"/>
      <c r="G4" s="161"/>
      <c r="H4" s="161"/>
      <c r="I4" s="162"/>
    </row>
    <row r="5" spans="1:10" ht="12.75" customHeight="1">
      <c r="A5" s="153" t="s">
        <v>94</v>
      </c>
      <c r="B5" s="154"/>
      <c r="C5" s="155"/>
      <c r="D5" s="155"/>
      <c r="E5" s="155"/>
      <c r="F5" s="155"/>
      <c r="G5" s="155"/>
      <c r="H5" s="155"/>
      <c r="I5" s="156"/>
      <c r="J5" s="31"/>
    </row>
    <row r="6" spans="1:10" ht="12" customHeight="1">
      <c r="A6" s="153" t="s">
        <v>96</v>
      </c>
      <c r="B6" s="154"/>
      <c r="C6" s="155"/>
      <c r="D6" s="155"/>
      <c r="E6" s="155"/>
      <c r="F6" s="155"/>
      <c r="G6" s="155"/>
      <c r="H6" s="155"/>
      <c r="I6" s="156"/>
      <c r="J6" s="31"/>
    </row>
    <row r="7" spans="1:10" ht="12" customHeight="1">
      <c r="A7" s="153" t="s">
        <v>95</v>
      </c>
      <c r="B7" s="154"/>
      <c r="C7" s="155"/>
      <c r="D7" s="155"/>
      <c r="E7" s="155"/>
      <c r="F7" s="155"/>
      <c r="G7" s="155"/>
      <c r="H7" s="155"/>
      <c r="I7" s="156"/>
      <c r="J7" s="31"/>
    </row>
    <row r="8" spans="1:9" ht="25.5" customHeight="1">
      <c r="A8" s="99" t="s">
        <v>97</v>
      </c>
      <c r="B8" s="100"/>
      <c r="C8" s="100"/>
      <c r="D8" s="100"/>
      <c r="E8" s="100"/>
      <c r="F8" s="100"/>
      <c r="G8" s="100"/>
      <c r="H8" s="100"/>
      <c r="I8" s="101"/>
    </row>
    <row r="9" spans="1:9" ht="12.75">
      <c r="A9" s="8" t="s">
        <v>2</v>
      </c>
      <c r="B9" s="30"/>
      <c r="C9" s="17" t="s">
        <v>41</v>
      </c>
      <c r="D9" s="3" t="s">
        <v>50</v>
      </c>
      <c r="E9" s="4"/>
      <c r="F9" s="4"/>
      <c r="G9" s="4"/>
      <c r="H9" s="4"/>
      <c r="I9" s="10"/>
    </row>
    <row r="10" spans="1:9" ht="12.75">
      <c r="A10" s="8" t="s">
        <v>3</v>
      </c>
      <c r="B10" s="30"/>
      <c r="C10" s="17" t="s">
        <v>41</v>
      </c>
      <c r="D10" s="1" t="s">
        <v>51</v>
      </c>
      <c r="E10" s="2"/>
      <c r="F10" s="2"/>
      <c r="G10" s="2"/>
      <c r="H10" s="2"/>
      <c r="I10" s="9"/>
    </row>
    <row r="11" spans="1:9" ht="12.75">
      <c r="A11" s="8" t="s">
        <v>1</v>
      </c>
      <c r="B11" s="26"/>
      <c r="C11" s="17" t="s">
        <v>69</v>
      </c>
      <c r="D11" s="96" t="s">
        <v>25</v>
      </c>
      <c r="E11" s="97"/>
      <c r="F11" s="97"/>
      <c r="G11" s="97"/>
      <c r="H11" s="97"/>
      <c r="I11" s="98"/>
    </row>
    <row r="12" spans="1:9" ht="12.75">
      <c r="A12" s="8" t="s">
        <v>24</v>
      </c>
      <c r="B12" s="37"/>
      <c r="C12" s="17" t="s">
        <v>40</v>
      </c>
      <c r="D12" s="132" t="s">
        <v>52</v>
      </c>
      <c r="E12" s="133"/>
      <c r="F12" s="133"/>
      <c r="G12" s="133"/>
      <c r="H12" s="133"/>
      <c r="I12" s="134"/>
    </row>
    <row r="13" spans="1:9" ht="12.75">
      <c r="A13" s="8" t="s">
        <v>18</v>
      </c>
      <c r="B13" s="16">
        <f>((B9-B10)/2)</f>
        <v>0</v>
      </c>
      <c r="C13" s="17" t="s">
        <v>41</v>
      </c>
      <c r="D13" s="132" t="s">
        <v>53</v>
      </c>
      <c r="E13" s="133"/>
      <c r="F13" s="133"/>
      <c r="G13" s="133"/>
      <c r="H13" s="133"/>
      <c r="I13" s="134"/>
    </row>
    <row r="14" spans="1:9" ht="12.75">
      <c r="A14" s="8" t="s">
        <v>19</v>
      </c>
      <c r="B14" s="16">
        <f>+B13/2</f>
        <v>0</v>
      </c>
      <c r="C14" s="17" t="s">
        <v>41</v>
      </c>
      <c r="D14" s="129" t="s">
        <v>56</v>
      </c>
      <c r="E14" s="130"/>
      <c r="F14" s="130"/>
      <c r="G14" s="130"/>
      <c r="H14" s="130"/>
      <c r="I14" s="131"/>
    </row>
    <row r="15" spans="1:9" ht="25.5" customHeight="1">
      <c r="A15" s="8" t="s">
        <v>17</v>
      </c>
      <c r="B15" s="16">
        <f>IF(B14&lt;=0.25,B14,0.5*SQRT(B14))</f>
        <v>0</v>
      </c>
      <c r="C15" s="17" t="s">
        <v>41</v>
      </c>
      <c r="D15" s="102" t="s">
        <v>55</v>
      </c>
      <c r="E15" s="103"/>
      <c r="F15" s="103"/>
      <c r="G15" s="103"/>
      <c r="H15" s="103"/>
      <c r="I15" s="104"/>
    </row>
    <row r="16" spans="1:9" ht="12.75" customHeight="1">
      <c r="A16" s="8" t="s">
        <v>23</v>
      </c>
      <c r="B16" s="16">
        <f>IF(B14&lt;=0.25,((B9+B10)/2),B9-(2*B15))</f>
        <v>0</v>
      </c>
      <c r="C16" s="17" t="s">
        <v>41</v>
      </c>
      <c r="D16" s="102" t="s">
        <v>54</v>
      </c>
      <c r="E16" s="103"/>
      <c r="F16" s="103"/>
      <c r="G16" s="103"/>
      <c r="H16" s="103"/>
      <c r="I16" s="104"/>
    </row>
    <row r="17" spans="1:9" ht="12.75">
      <c r="A17" s="8" t="s">
        <v>21</v>
      </c>
      <c r="B17" s="20">
        <f>B12*0.785*B16*B16</f>
        <v>0</v>
      </c>
      <c r="C17" s="17" t="s">
        <v>42</v>
      </c>
      <c r="D17" s="102" t="s">
        <v>85</v>
      </c>
      <c r="E17" s="103"/>
      <c r="F17" s="103"/>
      <c r="G17" s="103"/>
      <c r="H17" s="103"/>
      <c r="I17" s="104"/>
    </row>
    <row r="18" spans="1:9" ht="12.75" customHeight="1">
      <c r="A18" s="8" t="s">
        <v>22</v>
      </c>
      <c r="B18" s="20">
        <f>B11*B12*2*B15*B16*3.14</f>
        <v>0</v>
      </c>
      <c r="C18" s="17" t="s">
        <v>42</v>
      </c>
      <c r="D18" s="102" t="s">
        <v>98</v>
      </c>
      <c r="E18" s="103"/>
      <c r="F18" s="103"/>
      <c r="G18" s="103"/>
      <c r="H18" s="103"/>
      <c r="I18" s="104"/>
    </row>
    <row r="19" spans="1:9" ht="12.75" customHeight="1">
      <c r="A19" s="15" t="s">
        <v>20</v>
      </c>
      <c r="B19" s="20">
        <f>B17+B18</f>
        <v>0</v>
      </c>
      <c r="C19" s="17" t="s">
        <v>42</v>
      </c>
      <c r="D19" s="102" t="s">
        <v>108</v>
      </c>
      <c r="E19" s="103"/>
      <c r="F19" s="103"/>
      <c r="G19" s="103"/>
      <c r="H19" s="103"/>
      <c r="I19" s="104"/>
    </row>
    <row r="20" spans="1:9" ht="24" customHeight="1">
      <c r="A20" s="99" t="s">
        <v>99</v>
      </c>
      <c r="B20" s="100"/>
      <c r="C20" s="100"/>
      <c r="D20" s="100"/>
      <c r="E20" s="100"/>
      <c r="F20" s="100"/>
      <c r="G20" s="100"/>
      <c r="H20" s="100"/>
      <c r="I20" s="101"/>
    </row>
    <row r="21" spans="1:9" ht="12.75" customHeight="1">
      <c r="A21" s="8" t="s">
        <v>0</v>
      </c>
      <c r="B21" s="27"/>
      <c r="C21" s="17" t="s">
        <v>40</v>
      </c>
      <c r="D21" s="102" t="s">
        <v>100</v>
      </c>
      <c r="E21" s="103"/>
      <c r="F21" s="103"/>
      <c r="G21" s="103"/>
      <c r="H21" s="103"/>
      <c r="I21" s="104"/>
    </row>
    <row r="22" spans="1:9" ht="12.75">
      <c r="A22" s="8" t="s">
        <v>26</v>
      </c>
      <c r="B22" s="38">
        <f>B15*B16*B21*3.14</f>
        <v>0</v>
      </c>
      <c r="C22" s="17" t="s">
        <v>42</v>
      </c>
      <c r="D22" s="102" t="s">
        <v>57</v>
      </c>
      <c r="E22" s="103"/>
      <c r="F22" s="103"/>
      <c r="G22" s="103"/>
      <c r="H22" s="103"/>
      <c r="I22" s="104"/>
    </row>
    <row r="23" spans="1:11" ht="25.5" customHeight="1">
      <c r="A23" s="99" t="s">
        <v>110</v>
      </c>
      <c r="B23" s="100"/>
      <c r="C23" s="100"/>
      <c r="D23" s="100"/>
      <c r="E23" s="100"/>
      <c r="F23" s="100"/>
      <c r="G23" s="100"/>
      <c r="H23" s="100"/>
      <c r="I23" s="101"/>
      <c r="J23" s="18"/>
      <c r="K23" s="18"/>
    </row>
    <row r="24" spans="1:9" ht="12.75">
      <c r="A24" s="8" t="s">
        <v>6</v>
      </c>
      <c r="B24" s="26"/>
      <c r="C24" s="17" t="s">
        <v>44</v>
      </c>
      <c r="D24" s="129" t="s">
        <v>58</v>
      </c>
      <c r="E24" s="130"/>
      <c r="F24" s="130"/>
      <c r="G24" s="130"/>
      <c r="H24" s="130"/>
      <c r="I24" s="131"/>
    </row>
    <row r="25" spans="1:9" ht="12.75">
      <c r="A25" s="8" t="s">
        <v>27</v>
      </c>
      <c r="B25" s="28"/>
      <c r="C25" s="17" t="s">
        <v>40</v>
      </c>
      <c r="D25" s="129" t="s">
        <v>59</v>
      </c>
      <c r="E25" s="130"/>
      <c r="F25" s="130"/>
      <c r="G25" s="130"/>
      <c r="H25" s="130"/>
      <c r="I25" s="131"/>
    </row>
    <row r="26" spans="1:9" ht="12.75">
      <c r="A26" s="8" t="s">
        <v>28</v>
      </c>
      <c r="B26" s="28"/>
      <c r="C26" s="17" t="s">
        <v>40</v>
      </c>
      <c r="D26" s="129" t="s">
        <v>60</v>
      </c>
      <c r="E26" s="130"/>
      <c r="F26" s="130"/>
      <c r="G26" s="130"/>
      <c r="H26" s="130"/>
      <c r="I26" s="131"/>
    </row>
    <row r="27" spans="1:9" ht="12.75">
      <c r="A27" s="8" t="s">
        <v>4</v>
      </c>
      <c r="B27" s="29"/>
      <c r="C27" s="17" t="s">
        <v>69</v>
      </c>
      <c r="D27" s="1" t="s">
        <v>14</v>
      </c>
      <c r="E27" s="2"/>
      <c r="F27" s="2"/>
      <c r="G27" s="2"/>
      <c r="H27" s="2"/>
      <c r="I27" s="9"/>
    </row>
    <row r="28" spans="1:9" ht="12.75">
      <c r="A28" s="8" t="s">
        <v>66</v>
      </c>
      <c r="B28" s="39"/>
      <c r="C28" s="17" t="s">
        <v>68</v>
      </c>
      <c r="D28" s="129" t="s">
        <v>65</v>
      </c>
      <c r="E28" s="130"/>
      <c r="F28" s="130"/>
      <c r="G28" s="130"/>
      <c r="H28" s="130"/>
      <c r="I28" s="131"/>
    </row>
    <row r="29" spans="1:9" ht="12.75">
      <c r="A29" s="8" t="s">
        <v>32</v>
      </c>
      <c r="B29" s="16">
        <f>+B28*B27</f>
        <v>0</v>
      </c>
      <c r="C29" s="17" t="s">
        <v>68</v>
      </c>
      <c r="D29" s="129" t="s">
        <v>67</v>
      </c>
      <c r="E29" s="130"/>
      <c r="F29" s="130"/>
      <c r="G29" s="130"/>
      <c r="H29" s="130"/>
      <c r="I29" s="131"/>
    </row>
    <row r="30" spans="1:9" ht="12.75">
      <c r="A30" s="8" t="s">
        <v>29</v>
      </c>
      <c r="B30" s="16" t="e">
        <f>B19/B25</f>
        <v>#DIV/0!</v>
      </c>
      <c r="C30" s="17" t="s">
        <v>68</v>
      </c>
      <c r="D30" s="129" t="s">
        <v>63</v>
      </c>
      <c r="E30" s="130"/>
      <c r="F30" s="130"/>
      <c r="G30" s="130"/>
      <c r="H30" s="130"/>
      <c r="I30" s="131"/>
    </row>
    <row r="31" spans="1:9" ht="12.75">
      <c r="A31" s="8" t="s">
        <v>30</v>
      </c>
      <c r="B31" s="16" t="e">
        <f>B22/B26</f>
        <v>#DIV/0!</v>
      </c>
      <c r="C31" s="17" t="s">
        <v>68</v>
      </c>
      <c r="D31" s="129" t="s">
        <v>64</v>
      </c>
      <c r="E31" s="130"/>
      <c r="F31" s="130"/>
      <c r="G31" s="130"/>
      <c r="H31" s="130"/>
      <c r="I31" s="131"/>
    </row>
    <row r="32" spans="1:9" ht="12.75">
      <c r="A32" s="8" t="s">
        <v>31</v>
      </c>
      <c r="B32" s="16" t="e">
        <f>IF(B30&gt;B31,B30,B31)</f>
        <v>#DIV/0!</v>
      </c>
      <c r="C32" s="17" t="s">
        <v>68</v>
      </c>
      <c r="D32" s="129" t="s">
        <v>61</v>
      </c>
      <c r="E32" s="130"/>
      <c r="F32" s="130"/>
      <c r="G32" s="130"/>
      <c r="H32" s="130"/>
      <c r="I32" s="131"/>
    </row>
    <row r="33" spans="1:9" ht="12.75">
      <c r="A33" s="8" t="s">
        <v>33</v>
      </c>
      <c r="B33" s="20" t="e">
        <f>0.5*(B32+B29)*B26</f>
        <v>#DIV/0!</v>
      </c>
      <c r="C33" s="17" t="s">
        <v>42</v>
      </c>
      <c r="D33" s="129" t="s">
        <v>62</v>
      </c>
      <c r="E33" s="130"/>
      <c r="F33" s="130"/>
      <c r="G33" s="130"/>
      <c r="H33" s="130"/>
      <c r="I33" s="131"/>
    </row>
    <row r="34" spans="1:9" ht="12.75">
      <c r="A34" s="8" t="s">
        <v>34</v>
      </c>
      <c r="B34" s="20">
        <f>B19</f>
        <v>0</v>
      </c>
      <c r="C34" s="17" t="s">
        <v>42</v>
      </c>
      <c r="D34" s="129" t="s">
        <v>20</v>
      </c>
      <c r="E34" s="130"/>
      <c r="F34" s="130"/>
      <c r="G34" s="130"/>
      <c r="H34" s="130"/>
      <c r="I34" s="131"/>
    </row>
    <row r="35" spans="1:9" ht="12.75">
      <c r="A35" s="8" t="s">
        <v>35</v>
      </c>
      <c r="B35" s="20" t="e">
        <f>IF(B33&gt;B34,B33,B34)</f>
        <v>#DIV/0!</v>
      </c>
      <c r="C35" s="17" t="s">
        <v>42</v>
      </c>
      <c r="D35" s="12" t="s">
        <v>93</v>
      </c>
      <c r="E35" s="13"/>
      <c r="F35" s="13"/>
      <c r="G35" s="13"/>
      <c r="H35" s="13"/>
      <c r="I35" s="14"/>
    </row>
    <row r="36" spans="1:9" ht="12.75" customHeight="1">
      <c r="A36" s="8" t="s">
        <v>115</v>
      </c>
      <c r="B36" s="20" t="e">
        <f>B35/B27</f>
        <v>#DIV/0!</v>
      </c>
      <c r="C36" s="17" t="s">
        <v>42</v>
      </c>
      <c r="D36" s="102" t="s">
        <v>101</v>
      </c>
      <c r="E36" s="103"/>
      <c r="F36" s="103"/>
      <c r="G36" s="103"/>
      <c r="H36" s="103"/>
      <c r="I36" s="104"/>
    </row>
    <row r="37" spans="1:9" ht="25.5" customHeight="1">
      <c r="A37" s="99" t="s">
        <v>119</v>
      </c>
      <c r="B37" s="100"/>
      <c r="C37" s="100"/>
      <c r="D37" s="100"/>
      <c r="E37" s="100"/>
      <c r="F37" s="100"/>
      <c r="G37" s="100"/>
      <c r="H37" s="100"/>
      <c r="I37" s="101"/>
    </row>
    <row r="38" spans="1:9" ht="12.75">
      <c r="A38" s="8" t="s">
        <v>36</v>
      </c>
      <c r="B38" s="27"/>
      <c r="C38" s="17" t="s">
        <v>40</v>
      </c>
      <c r="D38" s="125" t="s">
        <v>76</v>
      </c>
      <c r="E38" s="125"/>
      <c r="F38" s="125"/>
      <c r="G38" s="125"/>
      <c r="H38" s="125"/>
      <c r="I38" s="126"/>
    </row>
    <row r="39" spans="1:9" ht="12.75">
      <c r="A39" s="8" t="s">
        <v>139</v>
      </c>
      <c r="B39" s="21">
        <f>B15*B16*B38*3.14</f>
        <v>0</v>
      </c>
      <c r="C39" s="17" t="s">
        <v>42</v>
      </c>
      <c r="D39" s="123" t="s">
        <v>75</v>
      </c>
      <c r="E39" s="123"/>
      <c r="F39" s="123"/>
      <c r="G39" s="123"/>
      <c r="H39" s="123"/>
      <c r="I39" s="124"/>
    </row>
    <row r="40" spans="1:9" ht="12.75">
      <c r="A40" s="8" t="s">
        <v>117</v>
      </c>
      <c r="B40" s="21" t="e">
        <f>B39/B27</f>
        <v>#DIV/0!</v>
      </c>
      <c r="C40" s="17" t="s">
        <v>42</v>
      </c>
      <c r="D40" s="123" t="s">
        <v>118</v>
      </c>
      <c r="E40" s="123"/>
      <c r="F40" s="123"/>
      <c r="G40" s="123"/>
      <c r="H40" s="123"/>
      <c r="I40" s="124"/>
    </row>
    <row r="41" spans="1:10" ht="25.5" customHeight="1">
      <c r="A41" s="99" t="s">
        <v>121</v>
      </c>
      <c r="B41" s="100"/>
      <c r="C41" s="100"/>
      <c r="D41" s="100"/>
      <c r="E41" s="100"/>
      <c r="F41" s="100"/>
      <c r="G41" s="100"/>
      <c r="H41" s="100"/>
      <c r="I41" s="101"/>
      <c r="J41" s="32"/>
    </row>
    <row r="42" spans="1:10" ht="13.5" customHeight="1">
      <c r="A42" s="127" t="s">
        <v>120</v>
      </c>
      <c r="B42" s="128"/>
      <c r="C42" s="128"/>
      <c r="D42" s="120" t="e">
        <f>+IF(B36&lt;B40,"OK, a junta de vedação resiste ao esmagamento nas condições de projeto","Reanalisar, a Junta de Vedação não resiste ao esmagamento")</f>
        <v>#DIV/0!</v>
      </c>
      <c r="E42" s="121"/>
      <c r="F42" s="121"/>
      <c r="G42" s="121"/>
      <c r="H42" s="121"/>
      <c r="I42" s="122"/>
      <c r="J42" s="32"/>
    </row>
    <row r="43" spans="1:9" ht="25.5" customHeight="1">
      <c r="A43" s="99" t="s">
        <v>122</v>
      </c>
      <c r="B43" s="100"/>
      <c r="C43" s="100"/>
      <c r="D43" s="100"/>
      <c r="E43" s="100"/>
      <c r="F43" s="100"/>
      <c r="G43" s="100"/>
      <c r="H43" s="100"/>
      <c r="I43" s="101"/>
    </row>
    <row r="44" spans="1:9" ht="12.75">
      <c r="A44" s="8" t="s">
        <v>15</v>
      </c>
      <c r="B44" s="27"/>
      <c r="C44" s="17" t="s">
        <v>40</v>
      </c>
      <c r="D44" s="125" t="s">
        <v>102</v>
      </c>
      <c r="E44" s="125"/>
      <c r="F44" s="125"/>
      <c r="G44" s="125"/>
      <c r="H44" s="125"/>
      <c r="I44" s="126"/>
    </row>
    <row r="45" spans="1:9" ht="12.75">
      <c r="A45" s="8" t="s">
        <v>140</v>
      </c>
      <c r="B45" s="22">
        <f>+B44*0.5</f>
        <v>0</v>
      </c>
      <c r="C45" s="17" t="s">
        <v>40</v>
      </c>
      <c r="D45" s="123" t="s">
        <v>77</v>
      </c>
      <c r="E45" s="123"/>
      <c r="F45" s="123"/>
      <c r="G45" s="123"/>
      <c r="H45" s="123"/>
      <c r="I45" s="124"/>
    </row>
    <row r="46" spans="1:10" ht="12.75" customHeight="1">
      <c r="A46" s="8" t="s">
        <v>123</v>
      </c>
      <c r="B46" s="21">
        <f>+B45*B28</f>
        <v>0</v>
      </c>
      <c r="C46" s="17" t="s">
        <v>42</v>
      </c>
      <c r="D46" s="123" t="s">
        <v>141</v>
      </c>
      <c r="E46" s="123"/>
      <c r="F46" s="123"/>
      <c r="G46" s="123"/>
      <c r="H46" s="123"/>
      <c r="I46" s="124"/>
      <c r="J46" s="36" t="e">
        <f>+B46-((3.14*B16*B16/4)*B12/B27)</f>
        <v>#DIV/0!</v>
      </c>
    </row>
    <row r="47" spans="1:10" ht="25.5" customHeight="1">
      <c r="A47" s="99" t="s">
        <v>124</v>
      </c>
      <c r="B47" s="100"/>
      <c r="C47" s="100"/>
      <c r="D47" s="100"/>
      <c r="E47" s="100"/>
      <c r="F47" s="100"/>
      <c r="G47" s="100"/>
      <c r="H47" s="100"/>
      <c r="I47" s="101"/>
      <c r="J47" s="35"/>
    </row>
    <row r="48" spans="1:10" ht="25.5" customHeight="1">
      <c r="A48" s="111" t="s">
        <v>135</v>
      </c>
      <c r="B48" s="112"/>
      <c r="C48" s="113"/>
      <c r="D48" s="102" t="e">
        <f>+IF(B46&lt;B40,"OK, a junta de vedação resiste ao esmagamento na força correspondente a 50% da tensão de escoamento a frio","Reanalisar")</f>
        <v>#DIV/0!</v>
      </c>
      <c r="E48" s="103"/>
      <c r="F48" s="103"/>
      <c r="G48" s="103"/>
      <c r="H48" s="103"/>
      <c r="I48" s="104"/>
      <c r="J48" s="32"/>
    </row>
    <row r="49" spans="1:10" ht="25.5" customHeight="1">
      <c r="A49" s="99" t="s">
        <v>125</v>
      </c>
      <c r="B49" s="100"/>
      <c r="C49" s="100"/>
      <c r="D49" s="100"/>
      <c r="E49" s="100"/>
      <c r="F49" s="100"/>
      <c r="G49" s="100"/>
      <c r="H49" s="100"/>
      <c r="I49" s="101"/>
      <c r="J49" s="32"/>
    </row>
    <row r="50" spans="1:10" ht="12.75">
      <c r="A50" s="8" t="s">
        <v>105</v>
      </c>
      <c r="B50" s="27"/>
      <c r="C50" s="17" t="s">
        <v>40</v>
      </c>
      <c r="D50" s="102" t="s">
        <v>114</v>
      </c>
      <c r="E50" s="103"/>
      <c r="F50" s="103"/>
      <c r="G50" s="103"/>
      <c r="H50" s="103"/>
      <c r="I50" s="104"/>
      <c r="J50" s="35"/>
    </row>
    <row r="51" spans="1:10" ht="13.5" customHeight="1">
      <c r="A51" s="8" t="s">
        <v>106</v>
      </c>
      <c r="B51" s="21">
        <f>+B50*B28</f>
        <v>0</v>
      </c>
      <c r="C51" s="17" t="s">
        <v>42</v>
      </c>
      <c r="D51" s="102" t="s">
        <v>113</v>
      </c>
      <c r="E51" s="103"/>
      <c r="F51" s="103"/>
      <c r="G51" s="103"/>
      <c r="H51" s="103"/>
      <c r="I51" s="104"/>
      <c r="J51" s="35"/>
    </row>
    <row r="52" spans="1:10" ht="25.5" customHeight="1">
      <c r="A52" s="99" t="s">
        <v>126</v>
      </c>
      <c r="B52" s="100"/>
      <c r="C52" s="100"/>
      <c r="D52" s="100"/>
      <c r="E52" s="100"/>
      <c r="F52" s="100"/>
      <c r="G52" s="100"/>
      <c r="H52" s="100"/>
      <c r="I52" s="101"/>
      <c r="J52" s="32"/>
    </row>
    <row r="53" spans="1:10" ht="25.5" customHeight="1">
      <c r="A53" s="111" t="s">
        <v>136</v>
      </c>
      <c r="B53" s="112"/>
      <c r="C53" s="113"/>
      <c r="D53" s="117" t="str">
        <f>+IF(B46&lt;B51,"OK, a força a 50% da tensão de escoamento a frio é menor do que da tensão de escoamento na temperatura de projeto","Reanalisar")</f>
        <v>Reanalisar</v>
      </c>
      <c r="E53" s="118"/>
      <c r="F53" s="118"/>
      <c r="G53" s="118"/>
      <c r="H53" s="118"/>
      <c r="I53" s="119"/>
      <c r="J53" s="32"/>
    </row>
    <row r="54" spans="1:10" ht="25.5" customHeight="1">
      <c r="A54" s="114" t="s">
        <v>127</v>
      </c>
      <c r="B54" s="115"/>
      <c r="C54" s="115"/>
      <c r="D54" s="115"/>
      <c r="E54" s="115"/>
      <c r="F54" s="115"/>
      <c r="G54" s="115"/>
      <c r="H54" s="115"/>
      <c r="I54" s="116"/>
      <c r="J54" s="32"/>
    </row>
    <row r="55" spans="1:10" ht="15" customHeight="1">
      <c r="A55" s="8" t="s">
        <v>129</v>
      </c>
      <c r="B55" s="21" t="e">
        <f>+((3.14*B16*B16/4*B12)/B27)</f>
        <v>#DIV/0!</v>
      </c>
      <c r="C55" s="17" t="s">
        <v>42</v>
      </c>
      <c r="D55" s="102" t="s">
        <v>142</v>
      </c>
      <c r="E55" s="103"/>
      <c r="F55" s="103"/>
      <c r="G55" s="103"/>
      <c r="H55" s="103"/>
      <c r="I55" s="104"/>
      <c r="J55" s="32"/>
    </row>
    <row r="56" spans="1:10" ht="15" customHeight="1">
      <c r="A56" s="8" t="s">
        <v>111</v>
      </c>
      <c r="B56" s="21" t="e">
        <f>+B55+B46</f>
        <v>#DIV/0!</v>
      </c>
      <c r="C56" s="17" t="s">
        <v>42</v>
      </c>
      <c r="D56" s="102" t="s">
        <v>131</v>
      </c>
      <c r="E56" s="103"/>
      <c r="F56" s="103"/>
      <c r="G56" s="103"/>
      <c r="H56" s="103"/>
      <c r="I56" s="104"/>
      <c r="J56" s="32"/>
    </row>
    <row r="57" spans="1:10" ht="36.75" customHeight="1">
      <c r="A57" s="114" t="s">
        <v>128</v>
      </c>
      <c r="B57" s="115"/>
      <c r="C57" s="115"/>
      <c r="D57" s="115"/>
      <c r="E57" s="115"/>
      <c r="F57" s="115"/>
      <c r="G57" s="115"/>
      <c r="H57" s="115"/>
      <c r="I57" s="116"/>
      <c r="J57" s="32"/>
    </row>
    <row r="58" spans="1:10" ht="37.5" customHeight="1">
      <c r="A58" s="111" t="s">
        <v>137</v>
      </c>
      <c r="B58" s="112"/>
      <c r="C58" s="113"/>
      <c r="D58" s="117" t="e">
        <f>+IF(B56&lt;B51,"OK, a força no parafuso, em operação, resultante da pressão interna mais a tensão de aperto c/ base em 50% da tensão de escoamento a frio é menor do que a força na tensão de escoamento na temperatura de projeto. Valor a ser adotado = Fy50% ","A força no parafuso, em operação, resultante da pressão interna mais a tensão de aperto c/ base em 50% da tensão de escoamento a frio é maior do que a força na tensão de escoamento na temperatura de projeto. Valor a ser adotado = Fyop - Fpi ")</f>
        <v>#DIV/0!</v>
      </c>
      <c r="E58" s="118"/>
      <c r="F58" s="118"/>
      <c r="G58" s="118"/>
      <c r="H58" s="118"/>
      <c r="I58" s="119"/>
      <c r="J58" s="32"/>
    </row>
    <row r="59" spans="1:10" ht="13.5" customHeight="1">
      <c r="A59" s="111" t="s">
        <v>133</v>
      </c>
      <c r="B59" s="112"/>
      <c r="C59" s="113"/>
      <c r="D59" s="90" t="e">
        <f>+IF(B56&lt;B51,B46,B51-B55)</f>
        <v>#DIV/0!</v>
      </c>
      <c r="E59" s="135" t="s">
        <v>42</v>
      </c>
      <c r="F59" s="135"/>
      <c r="G59" s="135"/>
      <c r="H59" s="135"/>
      <c r="I59" s="136"/>
      <c r="J59" s="32"/>
    </row>
    <row r="60" spans="1:10" ht="25.5" customHeight="1">
      <c r="A60" s="99" t="s">
        <v>132</v>
      </c>
      <c r="B60" s="100"/>
      <c r="C60" s="100"/>
      <c r="D60" s="100"/>
      <c r="E60" s="100"/>
      <c r="F60" s="100"/>
      <c r="G60" s="100"/>
      <c r="H60" s="100"/>
      <c r="I60" s="101"/>
      <c r="J60" s="32"/>
    </row>
    <row r="61" spans="1:10" ht="25.5" customHeight="1">
      <c r="A61" s="111" t="s">
        <v>138</v>
      </c>
      <c r="B61" s="112"/>
      <c r="C61" s="113"/>
      <c r="D61" s="117" t="e">
        <f>+IF(D59&gt;B36,"Ok, a força a ser adotada é maior do que a força mínima requerida pelo APPENDIX 2 ASME VIII Division 1, nas condições de projeto","Reanalisar o projeto da junta flangeada porque a força calculada nos parafusos é menor do que a força mínima requerida pelo APPENDIX 2 ASME VIII Division 1")</f>
        <v>#DIV/0!</v>
      </c>
      <c r="E61" s="118"/>
      <c r="F61" s="118"/>
      <c r="G61" s="118"/>
      <c r="H61" s="118"/>
      <c r="I61" s="119"/>
      <c r="J61" s="32"/>
    </row>
    <row r="62" spans="1:10" ht="25.5" customHeight="1">
      <c r="A62" s="99" t="s">
        <v>134</v>
      </c>
      <c r="B62" s="100"/>
      <c r="C62" s="100"/>
      <c r="D62" s="100"/>
      <c r="E62" s="100"/>
      <c r="F62" s="100"/>
      <c r="G62" s="100"/>
      <c r="H62" s="100"/>
      <c r="I62" s="101"/>
      <c r="J62" s="32"/>
    </row>
    <row r="63" spans="1:9" s="42" customFormat="1" ht="12.75">
      <c r="A63" s="44" t="s">
        <v>5</v>
      </c>
      <c r="B63" s="66"/>
      <c r="C63" s="46" t="s">
        <v>41</v>
      </c>
      <c r="D63" s="50" t="s">
        <v>70</v>
      </c>
      <c r="E63" s="51"/>
      <c r="F63" s="51"/>
      <c r="G63" s="51"/>
      <c r="H63" s="51"/>
      <c r="I63" s="52"/>
    </row>
    <row r="64" spans="1:9" ht="21.75" customHeight="1">
      <c r="A64" s="8" t="s">
        <v>8</v>
      </c>
      <c r="B64" s="26"/>
      <c r="C64" s="17" t="s">
        <v>69</v>
      </c>
      <c r="D64" s="102" t="s">
        <v>79</v>
      </c>
      <c r="E64" s="103"/>
      <c r="F64" s="103"/>
      <c r="G64" s="103"/>
      <c r="H64" s="103"/>
      <c r="I64" s="104"/>
    </row>
    <row r="65" spans="1:9" ht="23.25" customHeight="1">
      <c r="A65" s="8" t="s">
        <v>10</v>
      </c>
      <c r="B65" s="26"/>
      <c r="C65" s="17" t="s">
        <v>69</v>
      </c>
      <c r="D65" s="102" t="s">
        <v>78</v>
      </c>
      <c r="E65" s="103"/>
      <c r="F65" s="103"/>
      <c r="G65" s="103"/>
      <c r="H65" s="103"/>
      <c r="I65" s="104"/>
    </row>
    <row r="66" spans="1:9" ht="22.5" customHeight="1">
      <c r="A66" s="8" t="s">
        <v>9</v>
      </c>
      <c r="B66" s="26"/>
      <c r="C66" s="17" t="s">
        <v>41</v>
      </c>
      <c r="D66" s="102" t="s">
        <v>81</v>
      </c>
      <c r="E66" s="103"/>
      <c r="F66" s="103"/>
      <c r="G66" s="103"/>
      <c r="H66" s="103"/>
      <c r="I66" s="104"/>
    </row>
    <row r="67" spans="1:9" ht="12.75">
      <c r="A67" s="8" t="s">
        <v>11</v>
      </c>
      <c r="B67" s="26"/>
      <c r="C67" s="17" t="s">
        <v>45</v>
      </c>
      <c r="D67" s="96" t="s">
        <v>71</v>
      </c>
      <c r="E67" s="97"/>
      <c r="F67" s="97"/>
      <c r="G67" s="97"/>
      <c r="H67" s="97"/>
      <c r="I67" s="98"/>
    </row>
    <row r="68" spans="1:9" ht="12.75">
      <c r="A68" s="8" t="s">
        <v>11</v>
      </c>
      <c r="B68" s="7">
        <f>(B67/360)*PI()</f>
        <v>0</v>
      </c>
      <c r="C68" s="17" t="s">
        <v>47</v>
      </c>
      <c r="D68" s="96" t="s">
        <v>72</v>
      </c>
      <c r="E68" s="97"/>
      <c r="F68" s="97"/>
      <c r="G68" s="97"/>
      <c r="H68" s="97"/>
      <c r="I68" s="98"/>
    </row>
    <row r="69" spans="1:9" ht="12.75">
      <c r="A69" s="8"/>
      <c r="B69" s="26"/>
      <c r="C69" s="17" t="s">
        <v>46</v>
      </c>
      <c r="D69" s="96" t="s">
        <v>80</v>
      </c>
      <c r="E69" s="97"/>
      <c r="F69" s="97"/>
      <c r="G69" s="97"/>
      <c r="H69" s="97"/>
      <c r="I69" s="98"/>
    </row>
    <row r="70" spans="1:9" ht="12.75">
      <c r="A70" s="8"/>
      <c r="B70" s="40"/>
      <c r="C70" s="17" t="s">
        <v>41</v>
      </c>
      <c r="D70" s="96" t="s">
        <v>73</v>
      </c>
      <c r="E70" s="97"/>
      <c r="F70" s="97"/>
      <c r="G70" s="97"/>
      <c r="H70" s="97"/>
      <c r="I70" s="98"/>
    </row>
    <row r="71" spans="1:9" ht="12.75">
      <c r="A71" s="8" t="s">
        <v>13</v>
      </c>
      <c r="B71" s="7" t="e">
        <f>1/B69</f>
        <v>#DIV/0!</v>
      </c>
      <c r="C71" s="17" t="s">
        <v>41</v>
      </c>
      <c r="D71" s="96" t="s">
        <v>82</v>
      </c>
      <c r="E71" s="97"/>
      <c r="F71" s="97"/>
      <c r="G71" s="97"/>
      <c r="H71" s="97"/>
      <c r="I71" s="98"/>
    </row>
    <row r="72" spans="1:9" ht="21.75" customHeight="1">
      <c r="A72" s="8" t="s">
        <v>7</v>
      </c>
      <c r="B72" s="6">
        <f>(B70+B63)/2</f>
        <v>0</v>
      </c>
      <c r="C72" s="17" t="s">
        <v>41</v>
      </c>
      <c r="D72" s="108" t="s">
        <v>83</v>
      </c>
      <c r="E72" s="109"/>
      <c r="F72" s="109"/>
      <c r="G72" s="109"/>
      <c r="H72" s="109"/>
      <c r="I72" s="110"/>
    </row>
    <row r="73" spans="1:9" ht="12.75">
      <c r="A73" s="8" t="s">
        <v>12</v>
      </c>
      <c r="B73" s="7" t="e">
        <f>ATAN(B71/(PI()*B66))</f>
        <v>#DIV/0!</v>
      </c>
      <c r="C73" s="17" t="s">
        <v>47</v>
      </c>
      <c r="D73" s="96" t="s">
        <v>74</v>
      </c>
      <c r="E73" s="97"/>
      <c r="F73" s="97"/>
      <c r="G73" s="97"/>
      <c r="H73" s="97"/>
      <c r="I73" s="98"/>
    </row>
    <row r="74" spans="1:9" ht="13.5" thickBot="1">
      <c r="A74" s="11" t="s">
        <v>6</v>
      </c>
      <c r="B74" s="23" t="e">
        <f>(D59/2)*((B72*B64)+B66*((B65+(COS(B68)*TAN(B73)))/(COS(B68)-(B65*TAN(B73)))))/12</f>
        <v>#DIV/0!</v>
      </c>
      <c r="C74" s="24" t="s">
        <v>48</v>
      </c>
      <c r="D74" s="157" t="s">
        <v>146</v>
      </c>
      <c r="E74" s="158"/>
      <c r="F74" s="158"/>
      <c r="G74" s="158"/>
      <c r="H74" s="158"/>
      <c r="I74" s="159"/>
    </row>
  </sheetData>
  <sheetProtection/>
  <mergeCells count="80">
    <mergeCell ref="A59:C59"/>
    <mergeCell ref="E59:I59"/>
    <mergeCell ref="A60:I60"/>
    <mergeCell ref="A1:G1"/>
    <mergeCell ref="H1:I1"/>
    <mergeCell ref="A2:G2"/>
    <mergeCell ref="H2:I2"/>
    <mergeCell ref="A6:B6"/>
    <mergeCell ref="C6:I6"/>
    <mergeCell ref="A7:B7"/>
    <mergeCell ref="A8:I8"/>
    <mergeCell ref="D11:I11"/>
    <mergeCell ref="D12:I12"/>
    <mergeCell ref="D13:I13"/>
    <mergeCell ref="C7:I7"/>
    <mergeCell ref="A3:I3"/>
    <mergeCell ref="A4:I4"/>
    <mergeCell ref="A5:B5"/>
    <mergeCell ref="C5:I5"/>
    <mergeCell ref="D18:I18"/>
    <mergeCell ref="D19:I19"/>
    <mergeCell ref="A20:I20"/>
    <mergeCell ref="D21:I21"/>
    <mergeCell ref="D14:I14"/>
    <mergeCell ref="D15:I15"/>
    <mergeCell ref="D16:I16"/>
    <mergeCell ref="D17:I17"/>
    <mergeCell ref="D26:I26"/>
    <mergeCell ref="D28:I28"/>
    <mergeCell ref="D29:I29"/>
    <mergeCell ref="D30:I30"/>
    <mergeCell ref="D22:I22"/>
    <mergeCell ref="A23:I23"/>
    <mergeCell ref="D24:I24"/>
    <mergeCell ref="D25:I25"/>
    <mergeCell ref="D36:I36"/>
    <mergeCell ref="A37:I37"/>
    <mergeCell ref="D38:I38"/>
    <mergeCell ref="D39:I39"/>
    <mergeCell ref="D31:I31"/>
    <mergeCell ref="D32:I32"/>
    <mergeCell ref="D33:I33"/>
    <mergeCell ref="D34:I34"/>
    <mergeCell ref="D40:I40"/>
    <mergeCell ref="A43:I43"/>
    <mergeCell ref="D44:I44"/>
    <mergeCell ref="D45:I45"/>
    <mergeCell ref="A41:I41"/>
    <mergeCell ref="A42:C42"/>
    <mergeCell ref="D42:I42"/>
    <mergeCell ref="D46:I46"/>
    <mergeCell ref="A47:I47"/>
    <mergeCell ref="D50:I50"/>
    <mergeCell ref="D51:I51"/>
    <mergeCell ref="A48:C48"/>
    <mergeCell ref="D48:I48"/>
    <mergeCell ref="A49:I49"/>
    <mergeCell ref="D64:I64"/>
    <mergeCell ref="D65:I65"/>
    <mergeCell ref="D66:I66"/>
    <mergeCell ref="A61:C61"/>
    <mergeCell ref="D61:I61"/>
    <mergeCell ref="A62:I62"/>
    <mergeCell ref="D74:I74"/>
    <mergeCell ref="D67:I67"/>
    <mergeCell ref="D68:I68"/>
    <mergeCell ref="D69:I69"/>
    <mergeCell ref="D70:I70"/>
    <mergeCell ref="D71:I71"/>
    <mergeCell ref="D72:I72"/>
    <mergeCell ref="D73:I73"/>
    <mergeCell ref="D55:I55"/>
    <mergeCell ref="D56:I56"/>
    <mergeCell ref="A57:I57"/>
    <mergeCell ref="A58:C58"/>
    <mergeCell ref="D58:I58"/>
    <mergeCell ref="A52:I52"/>
    <mergeCell ref="A53:C53"/>
    <mergeCell ref="D53:I53"/>
    <mergeCell ref="A54:I54"/>
  </mergeCells>
  <printOptions/>
  <pageMargins left="0.787401575" right="0.787401575" top="0.51" bottom="0.54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zoomScale="124" zoomScaleNormal="124" zoomScalePageLayoutView="0" workbookViewId="0" topLeftCell="A1">
      <selection activeCell="B9" sqref="B9"/>
    </sheetView>
  </sheetViews>
  <sheetFormatPr defaultColWidth="9.140625" defaultRowHeight="12.75"/>
  <cols>
    <col min="1" max="1" width="4.57421875" style="0" customWidth="1"/>
    <col min="2" max="2" width="10.140625" style="19" customWidth="1"/>
    <col min="3" max="3" width="4.57421875" style="0" customWidth="1"/>
    <col min="5" max="5" width="10.421875" style="0" customWidth="1"/>
    <col min="6" max="6" width="10.00390625" style="0" customWidth="1"/>
    <col min="8" max="8" width="8.00390625" style="0" customWidth="1"/>
    <col min="9" max="9" width="19.8515625" style="0" customWidth="1"/>
    <col min="10" max="10" width="10.421875" style="0" bestFit="1" customWidth="1"/>
    <col min="11" max="11" width="10.140625" style="0" bestFit="1" customWidth="1"/>
  </cols>
  <sheetData>
    <row r="1" spans="1:10" ht="15" customHeight="1">
      <c r="A1" s="137" t="s">
        <v>37</v>
      </c>
      <c r="B1" s="138"/>
      <c r="C1" s="138"/>
      <c r="D1" s="138"/>
      <c r="E1" s="138"/>
      <c r="F1" s="138"/>
      <c r="G1" s="139"/>
      <c r="H1" s="140" t="s">
        <v>49</v>
      </c>
      <c r="I1" s="141"/>
      <c r="J1" s="32"/>
    </row>
    <row r="2" spans="1:10" ht="12.75">
      <c r="A2" s="142" t="s">
        <v>87</v>
      </c>
      <c r="B2" s="143"/>
      <c r="C2" s="143"/>
      <c r="D2" s="143"/>
      <c r="E2" s="143"/>
      <c r="F2" s="143"/>
      <c r="G2" s="144"/>
      <c r="H2" s="145" t="s">
        <v>16</v>
      </c>
      <c r="I2" s="146"/>
      <c r="J2" s="32"/>
    </row>
    <row r="3" spans="1:10" ht="12.75">
      <c r="A3" s="147"/>
      <c r="B3" s="148"/>
      <c r="C3" s="148"/>
      <c r="D3" s="148"/>
      <c r="E3" s="148"/>
      <c r="F3" s="148"/>
      <c r="G3" s="148"/>
      <c r="H3" s="148"/>
      <c r="I3" s="149"/>
      <c r="J3" s="32"/>
    </row>
    <row r="4" spans="1:10" ht="15" customHeight="1">
      <c r="A4" s="150" t="s">
        <v>38</v>
      </c>
      <c r="B4" s="151"/>
      <c r="C4" s="151"/>
      <c r="D4" s="151"/>
      <c r="E4" s="151"/>
      <c r="F4" s="151"/>
      <c r="G4" s="151"/>
      <c r="H4" s="151"/>
      <c r="I4" s="152"/>
      <c r="J4" s="32"/>
    </row>
    <row r="5" spans="1:10" ht="12.75" customHeight="1">
      <c r="A5" s="153" t="s">
        <v>94</v>
      </c>
      <c r="B5" s="154"/>
      <c r="C5" s="163" t="s">
        <v>90</v>
      </c>
      <c r="D5" s="163"/>
      <c r="E5" s="163"/>
      <c r="F5" s="163"/>
      <c r="G5" s="163"/>
      <c r="H5" s="163"/>
      <c r="I5" s="164"/>
      <c r="J5" s="32"/>
    </row>
    <row r="6" spans="1:10" ht="12" customHeight="1">
      <c r="A6" s="153" t="s">
        <v>96</v>
      </c>
      <c r="B6" s="154"/>
      <c r="C6" s="163" t="s">
        <v>103</v>
      </c>
      <c r="D6" s="163"/>
      <c r="E6" s="163"/>
      <c r="F6" s="163"/>
      <c r="G6" s="163"/>
      <c r="H6" s="163"/>
      <c r="I6" s="164"/>
      <c r="J6" s="32"/>
    </row>
    <row r="7" spans="1:10" ht="12" customHeight="1">
      <c r="A7" s="153" t="s">
        <v>95</v>
      </c>
      <c r="B7" s="154"/>
      <c r="C7" s="163" t="s">
        <v>104</v>
      </c>
      <c r="D7" s="163"/>
      <c r="E7" s="163"/>
      <c r="F7" s="163"/>
      <c r="G7" s="163"/>
      <c r="H7" s="163"/>
      <c r="I7" s="164"/>
      <c r="J7" s="32"/>
    </row>
    <row r="8" spans="1:10" ht="25.5" customHeight="1">
      <c r="A8" s="99" t="s">
        <v>97</v>
      </c>
      <c r="B8" s="100"/>
      <c r="C8" s="100"/>
      <c r="D8" s="100"/>
      <c r="E8" s="100"/>
      <c r="F8" s="100"/>
      <c r="G8" s="100"/>
      <c r="H8" s="100"/>
      <c r="I8" s="101"/>
      <c r="J8" s="32"/>
    </row>
    <row r="9" spans="1:10" ht="12.75">
      <c r="A9" s="8" t="s">
        <v>2</v>
      </c>
      <c r="B9" s="45">
        <v>758</v>
      </c>
      <c r="C9" s="17" t="s">
        <v>39</v>
      </c>
      <c r="D9" s="3" t="s">
        <v>50</v>
      </c>
      <c r="E9" s="4"/>
      <c r="F9" s="4"/>
      <c r="G9" s="4"/>
      <c r="H9" s="4"/>
      <c r="I9" s="10"/>
      <c r="J9" s="32"/>
    </row>
    <row r="10" spans="1:10" ht="12.75">
      <c r="A10" s="8" t="s">
        <v>3</v>
      </c>
      <c r="B10" s="45">
        <v>732</v>
      </c>
      <c r="C10" s="17" t="s">
        <v>39</v>
      </c>
      <c r="D10" s="1" t="s">
        <v>51</v>
      </c>
      <c r="E10" s="2"/>
      <c r="F10" s="2"/>
      <c r="G10" s="2"/>
      <c r="H10" s="2"/>
      <c r="I10" s="9"/>
      <c r="J10" s="32"/>
    </row>
    <row r="11" spans="1:10" ht="12.75">
      <c r="A11" s="8" t="s">
        <v>1</v>
      </c>
      <c r="B11" s="53">
        <v>3.75</v>
      </c>
      <c r="C11" s="17" t="s">
        <v>69</v>
      </c>
      <c r="D11" s="96" t="s">
        <v>25</v>
      </c>
      <c r="E11" s="97"/>
      <c r="F11" s="97"/>
      <c r="G11" s="97"/>
      <c r="H11" s="97"/>
      <c r="I11" s="98"/>
      <c r="J11" s="32"/>
    </row>
    <row r="12" spans="1:10" ht="12.75">
      <c r="A12" s="8" t="s">
        <v>24</v>
      </c>
      <c r="B12" s="54">
        <v>1570</v>
      </c>
      <c r="C12" s="17" t="s">
        <v>43</v>
      </c>
      <c r="D12" s="132" t="s">
        <v>52</v>
      </c>
      <c r="E12" s="133"/>
      <c r="F12" s="133"/>
      <c r="G12" s="133"/>
      <c r="H12" s="133"/>
      <c r="I12" s="134"/>
      <c r="J12" s="32"/>
    </row>
    <row r="13" spans="1:10" ht="12.75">
      <c r="A13" s="8" t="s">
        <v>18</v>
      </c>
      <c r="B13" s="16">
        <f>((B9-B10)/2)</f>
        <v>13</v>
      </c>
      <c r="C13" s="17" t="s">
        <v>39</v>
      </c>
      <c r="D13" s="132" t="s">
        <v>53</v>
      </c>
      <c r="E13" s="133"/>
      <c r="F13" s="133"/>
      <c r="G13" s="133"/>
      <c r="H13" s="133"/>
      <c r="I13" s="134"/>
      <c r="J13" s="32"/>
    </row>
    <row r="14" spans="1:10" ht="12.75">
      <c r="A14" s="8" t="s">
        <v>19</v>
      </c>
      <c r="B14" s="16">
        <f>+B13/2</f>
        <v>6.5</v>
      </c>
      <c r="C14" s="17" t="s">
        <v>39</v>
      </c>
      <c r="D14" s="129" t="s">
        <v>56</v>
      </c>
      <c r="E14" s="130"/>
      <c r="F14" s="130"/>
      <c r="G14" s="130"/>
      <c r="H14" s="130"/>
      <c r="I14" s="131"/>
      <c r="J14" s="32"/>
    </row>
    <row r="15" spans="1:10" ht="25.5" customHeight="1">
      <c r="A15" s="8" t="s">
        <v>17</v>
      </c>
      <c r="B15" s="16">
        <f>IF(B14&lt;=6,B14,0.5*SQRT(B14/25.4)*25.4)</f>
        <v>6.42456224189633</v>
      </c>
      <c r="C15" s="17" t="s">
        <v>39</v>
      </c>
      <c r="D15" s="102" t="s">
        <v>107</v>
      </c>
      <c r="E15" s="103"/>
      <c r="F15" s="103"/>
      <c r="G15" s="103"/>
      <c r="H15" s="103"/>
      <c r="I15" s="104"/>
      <c r="J15" s="32"/>
    </row>
    <row r="16" spans="1:10" ht="12.75" customHeight="1">
      <c r="A16" s="8" t="s">
        <v>23</v>
      </c>
      <c r="B16" s="16">
        <f>IF(B14&lt;=6,((B9+B10)/2),B9-(2*B15))</f>
        <v>745.1508755162073</v>
      </c>
      <c r="C16" s="17" t="s">
        <v>39</v>
      </c>
      <c r="D16" s="102" t="s">
        <v>88</v>
      </c>
      <c r="E16" s="103"/>
      <c r="F16" s="103"/>
      <c r="G16" s="103"/>
      <c r="H16" s="103"/>
      <c r="I16" s="104"/>
      <c r="J16" s="32"/>
    </row>
    <row r="17" spans="1:10" ht="12.75">
      <c r="A17" s="8" t="s">
        <v>21</v>
      </c>
      <c r="B17" s="20">
        <f>B12*0.785*B16*B16/1000000</f>
        <v>684.3176496344037</v>
      </c>
      <c r="C17" s="17" t="s">
        <v>89</v>
      </c>
      <c r="D17" s="102" t="s">
        <v>85</v>
      </c>
      <c r="E17" s="103"/>
      <c r="F17" s="103"/>
      <c r="G17" s="103"/>
      <c r="H17" s="103"/>
      <c r="I17" s="104"/>
      <c r="J17" s="32"/>
    </row>
    <row r="18" spans="1:10" ht="12.75">
      <c r="A18" s="8" t="s">
        <v>22</v>
      </c>
      <c r="B18" s="20">
        <f>B11*B12*2*B15*B16*3.14/1000000</f>
        <v>177.0020600294715</v>
      </c>
      <c r="C18" s="17" t="s">
        <v>89</v>
      </c>
      <c r="D18" s="102" t="s">
        <v>98</v>
      </c>
      <c r="E18" s="103"/>
      <c r="F18" s="103"/>
      <c r="G18" s="103"/>
      <c r="H18" s="103"/>
      <c r="I18" s="104"/>
      <c r="J18" s="32"/>
    </row>
    <row r="19" spans="1:10" ht="12.75">
      <c r="A19" s="15" t="s">
        <v>20</v>
      </c>
      <c r="B19" s="20">
        <f>B17+B18</f>
        <v>861.3197096638752</v>
      </c>
      <c r="C19" s="17" t="s">
        <v>89</v>
      </c>
      <c r="D19" s="102" t="s">
        <v>108</v>
      </c>
      <c r="E19" s="103"/>
      <c r="F19" s="103"/>
      <c r="G19" s="103"/>
      <c r="H19" s="103"/>
      <c r="I19" s="104"/>
      <c r="J19" s="32"/>
    </row>
    <row r="20" spans="1:10" ht="24" customHeight="1">
      <c r="A20" s="99" t="s">
        <v>99</v>
      </c>
      <c r="B20" s="100"/>
      <c r="C20" s="100"/>
      <c r="D20" s="100"/>
      <c r="E20" s="100"/>
      <c r="F20" s="100"/>
      <c r="G20" s="100"/>
      <c r="H20" s="100"/>
      <c r="I20" s="101"/>
      <c r="J20" s="32"/>
    </row>
    <row r="21" spans="1:10" ht="12.75">
      <c r="A21" s="8" t="s">
        <v>0</v>
      </c>
      <c r="B21" s="60">
        <v>52000</v>
      </c>
      <c r="C21" s="17" t="s">
        <v>43</v>
      </c>
      <c r="D21" s="102" t="s">
        <v>100</v>
      </c>
      <c r="E21" s="103"/>
      <c r="F21" s="103"/>
      <c r="G21" s="103"/>
      <c r="H21" s="103"/>
      <c r="I21" s="104"/>
      <c r="J21" s="32"/>
    </row>
    <row r="22" spans="1:10" ht="12.75">
      <c r="A22" s="8" t="s">
        <v>26</v>
      </c>
      <c r="B22" s="20">
        <f>B15*B16*B21*3.14/1000000</f>
        <v>781.6651483254794</v>
      </c>
      <c r="C22" s="17" t="s">
        <v>89</v>
      </c>
      <c r="D22" s="102" t="s">
        <v>57</v>
      </c>
      <c r="E22" s="103"/>
      <c r="F22" s="103"/>
      <c r="G22" s="103"/>
      <c r="H22" s="103"/>
      <c r="I22" s="104"/>
      <c r="J22" s="32"/>
    </row>
    <row r="23" spans="1:11" ht="25.5" customHeight="1">
      <c r="A23" s="99" t="s">
        <v>109</v>
      </c>
      <c r="B23" s="100"/>
      <c r="C23" s="100"/>
      <c r="D23" s="100"/>
      <c r="E23" s="100"/>
      <c r="F23" s="100"/>
      <c r="G23" s="100"/>
      <c r="H23" s="100"/>
      <c r="I23" s="101"/>
      <c r="J23" s="33"/>
      <c r="K23" s="18"/>
    </row>
    <row r="24" spans="1:10" ht="12.75">
      <c r="A24" s="8" t="s">
        <v>6</v>
      </c>
      <c r="B24" s="53">
        <v>260</v>
      </c>
      <c r="C24" s="17" t="s">
        <v>44</v>
      </c>
      <c r="D24" s="129" t="s">
        <v>58</v>
      </c>
      <c r="E24" s="130"/>
      <c r="F24" s="130"/>
      <c r="G24" s="130"/>
      <c r="H24" s="130"/>
      <c r="I24" s="131"/>
      <c r="J24" s="32"/>
    </row>
    <row r="25" spans="1:10" ht="12.75">
      <c r="A25" s="8" t="s">
        <v>27</v>
      </c>
      <c r="B25" s="61">
        <v>172413.79</v>
      </c>
      <c r="C25" s="17" t="s">
        <v>43</v>
      </c>
      <c r="D25" s="129" t="s">
        <v>59</v>
      </c>
      <c r="E25" s="130"/>
      <c r="F25" s="130"/>
      <c r="G25" s="130"/>
      <c r="H25" s="130"/>
      <c r="I25" s="131"/>
      <c r="J25" s="32"/>
    </row>
    <row r="26" spans="1:10" ht="12.75">
      <c r="A26" s="8" t="s">
        <v>28</v>
      </c>
      <c r="B26" s="61">
        <v>172413.79</v>
      </c>
      <c r="C26" s="17" t="s">
        <v>43</v>
      </c>
      <c r="D26" s="129" t="s">
        <v>60</v>
      </c>
      <c r="E26" s="130"/>
      <c r="F26" s="130"/>
      <c r="G26" s="130"/>
      <c r="H26" s="130"/>
      <c r="I26" s="131"/>
      <c r="J26" s="32"/>
    </row>
    <row r="27" spans="1:10" ht="12.75">
      <c r="A27" s="8" t="s">
        <v>4</v>
      </c>
      <c r="B27" s="62">
        <v>24</v>
      </c>
      <c r="C27" s="17" t="s">
        <v>69</v>
      </c>
      <c r="D27" s="1" t="s">
        <v>14</v>
      </c>
      <c r="E27" s="2"/>
      <c r="F27" s="2"/>
      <c r="G27" s="2"/>
      <c r="H27" s="2"/>
      <c r="I27" s="9"/>
      <c r="J27" s="32"/>
    </row>
    <row r="28" spans="1:10" ht="12.75">
      <c r="A28" s="8" t="s">
        <v>66</v>
      </c>
      <c r="B28" s="63">
        <v>270.451</v>
      </c>
      <c r="C28" s="17" t="s">
        <v>91</v>
      </c>
      <c r="D28" s="129" t="s">
        <v>112</v>
      </c>
      <c r="E28" s="130"/>
      <c r="F28" s="130"/>
      <c r="G28" s="130"/>
      <c r="H28" s="130"/>
      <c r="I28" s="131"/>
      <c r="J28" s="32"/>
    </row>
    <row r="29" spans="1:10" ht="12.75">
      <c r="A29" s="8" t="s">
        <v>32</v>
      </c>
      <c r="B29" s="16">
        <f>+B28*B27</f>
        <v>6490.8240000000005</v>
      </c>
      <c r="C29" s="17" t="s">
        <v>91</v>
      </c>
      <c r="D29" s="129" t="s">
        <v>67</v>
      </c>
      <c r="E29" s="130"/>
      <c r="F29" s="130"/>
      <c r="G29" s="130"/>
      <c r="H29" s="130"/>
      <c r="I29" s="131"/>
      <c r="J29" s="32"/>
    </row>
    <row r="30" spans="1:10" ht="12.75">
      <c r="A30" s="8" t="s">
        <v>29</v>
      </c>
      <c r="B30" s="16">
        <f>B19/B25*1000000</f>
        <v>4995.6544059722555</v>
      </c>
      <c r="C30" s="17" t="s">
        <v>91</v>
      </c>
      <c r="D30" s="129" t="s">
        <v>63</v>
      </c>
      <c r="E30" s="130"/>
      <c r="F30" s="130"/>
      <c r="G30" s="130"/>
      <c r="H30" s="130"/>
      <c r="I30" s="131"/>
      <c r="J30" s="32"/>
    </row>
    <row r="31" spans="1:10" ht="12.75">
      <c r="A31" s="8" t="s">
        <v>30</v>
      </c>
      <c r="B31" s="16">
        <f>B22/B26*1000000</f>
        <v>4533.6579418936235</v>
      </c>
      <c r="C31" s="17" t="s">
        <v>91</v>
      </c>
      <c r="D31" s="129" t="s">
        <v>64</v>
      </c>
      <c r="E31" s="130"/>
      <c r="F31" s="130"/>
      <c r="G31" s="130"/>
      <c r="H31" s="130"/>
      <c r="I31" s="131"/>
      <c r="J31" s="32"/>
    </row>
    <row r="32" spans="1:10" ht="12.75">
      <c r="A32" s="8" t="s">
        <v>31</v>
      </c>
      <c r="B32" s="16">
        <f>IF(B30&gt;B31,B30,B31)</f>
        <v>4995.6544059722555</v>
      </c>
      <c r="C32" s="17" t="s">
        <v>91</v>
      </c>
      <c r="D32" s="129" t="s">
        <v>61</v>
      </c>
      <c r="E32" s="130"/>
      <c r="F32" s="130"/>
      <c r="G32" s="130"/>
      <c r="H32" s="130"/>
      <c r="I32" s="131"/>
      <c r="J32" s="32"/>
    </row>
    <row r="33" spans="1:10" ht="12.75">
      <c r="A33" s="8" t="s">
        <v>33</v>
      </c>
      <c r="B33" s="20">
        <f>0.5*(B32+B29)*B26/1000000</f>
        <v>990.2136378634176</v>
      </c>
      <c r="C33" s="17" t="s">
        <v>89</v>
      </c>
      <c r="D33" s="129" t="s">
        <v>62</v>
      </c>
      <c r="E33" s="130"/>
      <c r="F33" s="130"/>
      <c r="G33" s="130"/>
      <c r="H33" s="130"/>
      <c r="I33" s="131"/>
      <c r="J33" s="32"/>
    </row>
    <row r="34" spans="1:10" ht="12.75">
      <c r="A34" s="8" t="s">
        <v>34</v>
      </c>
      <c r="B34" s="20">
        <f>B19</f>
        <v>861.3197096638752</v>
      </c>
      <c r="C34" s="17" t="s">
        <v>89</v>
      </c>
      <c r="D34" s="129" t="s">
        <v>20</v>
      </c>
      <c r="E34" s="130"/>
      <c r="F34" s="130"/>
      <c r="G34" s="130"/>
      <c r="H34" s="130"/>
      <c r="I34" s="131"/>
      <c r="J34" s="32"/>
    </row>
    <row r="35" spans="1:10" ht="12.75">
      <c r="A35" s="8" t="s">
        <v>35</v>
      </c>
      <c r="B35" s="20">
        <f>IF(B33&gt;B34,B33,B34)</f>
        <v>990.2136378634176</v>
      </c>
      <c r="C35" s="17" t="s">
        <v>89</v>
      </c>
      <c r="D35" s="12" t="s">
        <v>93</v>
      </c>
      <c r="E35" s="13"/>
      <c r="F35" s="13"/>
      <c r="G35" s="13"/>
      <c r="H35" s="13"/>
      <c r="I35" s="14"/>
      <c r="J35" s="32"/>
    </row>
    <row r="36" spans="1:10" ht="12.75">
      <c r="A36" s="8" t="s">
        <v>115</v>
      </c>
      <c r="B36" s="20">
        <f>B35/B27</f>
        <v>41.2589015776424</v>
      </c>
      <c r="C36" s="17" t="s">
        <v>89</v>
      </c>
      <c r="D36" s="102" t="s">
        <v>101</v>
      </c>
      <c r="E36" s="103"/>
      <c r="F36" s="103"/>
      <c r="G36" s="103"/>
      <c r="H36" s="103"/>
      <c r="I36" s="104"/>
      <c r="J36" s="32"/>
    </row>
    <row r="37" spans="1:10" ht="25.5" customHeight="1">
      <c r="A37" s="99" t="s">
        <v>119</v>
      </c>
      <c r="B37" s="100"/>
      <c r="C37" s="100"/>
      <c r="D37" s="100"/>
      <c r="E37" s="100"/>
      <c r="F37" s="100"/>
      <c r="G37" s="100"/>
      <c r="H37" s="100"/>
      <c r="I37" s="101"/>
      <c r="J37" s="32"/>
    </row>
    <row r="38" spans="1:10" ht="12.75">
      <c r="A38" s="8" t="s">
        <v>36</v>
      </c>
      <c r="B38" s="60">
        <v>180000</v>
      </c>
      <c r="C38" s="17" t="s">
        <v>43</v>
      </c>
      <c r="D38" s="125" t="s">
        <v>76</v>
      </c>
      <c r="E38" s="125"/>
      <c r="F38" s="125"/>
      <c r="G38" s="125"/>
      <c r="H38" s="125"/>
      <c r="I38" s="126"/>
      <c r="J38" s="32"/>
    </row>
    <row r="39" spans="1:10" ht="12.75">
      <c r="A39" s="8" t="s">
        <v>116</v>
      </c>
      <c r="B39" s="21">
        <f>B15*B16*B38*3.14/1000000</f>
        <v>2705.763974972813</v>
      </c>
      <c r="C39" s="17" t="s">
        <v>89</v>
      </c>
      <c r="D39" s="123" t="s">
        <v>75</v>
      </c>
      <c r="E39" s="123"/>
      <c r="F39" s="123"/>
      <c r="G39" s="123"/>
      <c r="H39" s="123"/>
      <c r="I39" s="124"/>
      <c r="J39" s="32"/>
    </row>
    <row r="40" spans="1:10" ht="12.75">
      <c r="A40" s="8" t="s">
        <v>117</v>
      </c>
      <c r="B40" s="21">
        <f>B39/B27</f>
        <v>112.7401656238672</v>
      </c>
      <c r="C40" s="17" t="s">
        <v>89</v>
      </c>
      <c r="D40" s="123" t="s">
        <v>118</v>
      </c>
      <c r="E40" s="123"/>
      <c r="F40" s="123"/>
      <c r="G40" s="123"/>
      <c r="H40" s="123"/>
      <c r="I40" s="124"/>
      <c r="J40" s="32"/>
    </row>
    <row r="41" spans="1:10" ht="25.5" customHeight="1">
      <c r="A41" s="99" t="s">
        <v>121</v>
      </c>
      <c r="B41" s="100"/>
      <c r="C41" s="100"/>
      <c r="D41" s="100"/>
      <c r="E41" s="100"/>
      <c r="F41" s="100"/>
      <c r="G41" s="100"/>
      <c r="H41" s="100"/>
      <c r="I41" s="101"/>
      <c r="J41" s="32"/>
    </row>
    <row r="42" spans="1:10" ht="13.5" customHeight="1">
      <c r="A42" s="127" t="s">
        <v>120</v>
      </c>
      <c r="B42" s="128"/>
      <c r="C42" s="128"/>
      <c r="D42" s="120" t="str">
        <f>+IF(B36&lt;B40,"OK, a junta de vedação resiste ao esmagamento nas condições de projeto","Reanalisar, a Junta de Vedação não resiste ao esmagamento")</f>
        <v>OK, a junta de vedação resiste ao esmagamento nas condições de projeto</v>
      </c>
      <c r="E42" s="121"/>
      <c r="F42" s="121"/>
      <c r="G42" s="121"/>
      <c r="H42" s="121"/>
      <c r="I42" s="122"/>
      <c r="J42" s="32"/>
    </row>
    <row r="43" spans="1:10" ht="25.5" customHeight="1">
      <c r="A43" s="99" t="s">
        <v>122</v>
      </c>
      <c r="B43" s="100"/>
      <c r="C43" s="100"/>
      <c r="D43" s="100"/>
      <c r="E43" s="100"/>
      <c r="F43" s="100"/>
      <c r="G43" s="100"/>
      <c r="H43" s="100"/>
      <c r="I43" s="101"/>
      <c r="J43" s="32"/>
    </row>
    <row r="44" spans="1:10" ht="12.75">
      <c r="A44" s="8" t="s">
        <v>15</v>
      </c>
      <c r="B44" s="60">
        <v>724138</v>
      </c>
      <c r="C44" s="17" t="s">
        <v>43</v>
      </c>
      <c r="D44" s="125" t="s">
        <v>102</v>
      </c>
      <c r="E44" s="125"/>
      <c r="F44" s="125"/>
      <c r="G44" s="125"/>
      <c r="H44" s="125"/>
      <c r="I44" s="126"/>
      <c r="J44" s="32"/>
    </row>
    <row r="45" spans="1:10" ht="12.75">
      <c r="A45" s="8" t="s">
        <v>140</v>
      </c>
      <c r="B45" s="22">
        <f>+B44*0.5</f>
        <v>362069</v>
      </c>
      <c r="C45" s="17" t="s">
        <v>43</v>
      </c>
      <c r="D45" s="123" t="s">
        <v>77</v>
      </c>
      <c r="E45" s="123"/>
      <c r="F45" s="123"/>
      <c r="G45" s="123"/>
      <c r="H45" s="123"/>
      <c r="I45" s="124"/>
      <c r="J45" s="32"/>
    </row>
    <row r="46" spans="1:10" ht="12.75">
      <c r="A46" s="8" t="s">
        <v>123</v>
      </c>
      <c r="B46" s="21">
        <f>+B45*B28/1000000</f>
        <v>97.921923119</v>
      </c>
      <c r="C46" s="17" t="s">
        <v>89</v>
      </c>
      <c r="D46" s="123" t="s">
        <v>141</v>
      </c>
      <c r="E46" s="123"/>
      <c r="F46" s="123"/>
      <c r="G46" s="123"/>
      <c r="H46" s="123"/>
      <c r="I46" s="124"/>
      <c r="J46" s="34">
        <f>+B46-((3.14*B16*B16/4)*B12/B27/1000000)</f>
        <v>69.40868771756651</v>
      </c>
    </row>
    <row r="47" spans="1:10" ht="25.5" customHeight="1">
      <c r="A47" s="99" t="s">
        <v>124</v>
      </c>
      <c r="B47" s="100"/>
      <c r="C47" s="100"/>
      <c r="D47" s="100"/>
      <c r="E47" s="100"/>
      <c r="F47" s="100"/>
      <c r="G47" s="100"/>
      <c r="H47" s="100"/>
      <c r="I47" s="101"/>
      <c r="J47" s="32"/>
    </row>
    <row r="48" spans="1:10" ht="25.5" customHeight="1">
      <c r="A48" s="111" t="s">
        <v>135</v>
      </c>
      <c r="B48" s="112"/>
      <c r="C48" s="113"/>
      <c r="D48" s="102" t="str">
        <f>+IF(B46&lt;B40,"OK, a junta de vedação resiste ao esmagamento na força correspondente a 50% da tensão de escoamento a frio","Reanalisar")</f>
        <v>OK, a junta de vedação resiste ao esmagamento na força correspondente a 50% da tensão de escoamento a frio</v>
      </c>
      <c r="E48" s="103"/>
      <c r="F48" s="103"/>
      <c r="G48" s="103"/>
      <c r="H48" s="103"/>
      <c r="I48" s="104"/>
      <c r="J48" s="32"/>
    </row>
    <row r="49" spans="1:10" ht="25.5" customHeight="1">
      <c r="A49" s="99" t="s">
        <v>125</v>
      </c>
      <c r="B49" s="100"/>
      <c r="C49" s="100"/>
      <c r="D49" s="100"/>
      <c r="E49" s="100"/>
      <c r="F49" s="100"/>
      <c r="G49" s="100"/>
      <c r="H49" s="100"/>
      <c r="I49" s="101"/>
      <c r="J49" s="32"/>
    </row>
    <row r="50" spans="1:10" ht="12.75">
      <c r="A50" s="8" t="s">
        <v>105</v>
      </c>
      <c r="B50" s="60">
        <v>610186</v>
      </c>
      <c r="C50" s="17" t="s">
        <v>43</v>
      </c>
      <c r="D50" s="102" t="s">
        <v>114</v>
      </c>
      <c r="E50" s="103"/>
      <c r="F50" s="103"/>
      <c r="G50" s="103"/>
      <c r="H50" s="103"/>
      <c r="I50" s="104"/>
      <c r="J50" s="32"/>
    </row>
    <row r="51" spans="1:10" ht="13.5" customHeight="1">
      <c r="A51" s="8" t="s">
        <v>106</v>
      </c>
      <c r="B51" s="21">
        <f>+B50*B28/1000000</f>
        <v>165.025413886</v>
      </c>
      <c r="C51" s="17" t="s">
        <v>89</v>
      </c>
      <c r="D51" s="102" t="s">
        <v>113</v>
      </c>
      <c r="E51" s="103"/>
      <c r="F51" s="103"/>
      <c r="G51" s="103"/>
      <c r="H51" s="103"/>
      <c r="I51" s="104"/>
      <c r="J51" s="32"/>
    </row>
    <row r="52" spans="1:10" ht="25.5" customHeight="1">
      <c r="A52" s="99" t="s">
        <v>126</v>
      </c>
      <c r="B52" s="100"/>
      <c r="C52" s="100"/>
      <c r="D52" s="100"/>
      <c r="E52" s="100"/>
      <c r="F52" s="100"/>
      <c r="G52" s="100"/>
      <c r="H52" s="100"/>
      <c r="I52" s="101"/>
      <c r="J52" s="32"/>
    </row>
    <row r="53" spans="1:10" ht="25.5" customHeight="1">
      <c r="A53" s="111" t="s">
        <v>136</v>
      </c>
      <c r="B53" s="112"/>
      <c r="C53" s="113"/>
      <c r="D53" s="117" t="str">
        <f>+IF(B46&lt;B51,"OK, a força a 50% da tensão de escoamento a frio é menor do que da tensão de escoamento na temperatura de projeto","Reanalisar")</f>
        <v>OK, a força a 50% da tensão de escoamento a frio é menor do que da tensão de escoamento na temperatura de projeto</v>
      </c>
      <c r="E53" s="118"/>
      <c r="F53" s="118"/>
      <c r="G53" s="118"/>
      <c r="H53" s="118"/>
      <c r="I53" s="119"/>
      <c r="J53" s="32"/>
    </row>
    <row r="54" spans="1:10" ht="25.5" customHeight="1">
      <c r="A54" s="114" t="s">
        <v>127</v>
      </c>
      <c r="B54" s="115"/>
      <c r="C54" s="115"/>
      <c r="D54" s="115"/>
      <c r="E54" s="115"/>
      <c r="F54" s="115"/>
      <c r="G54" s="115"/>
      <c r="H54" s="115"/>
      <c r="I54" s="116"/>
      <c r="J54" s="32"/>
    </row>
    <row r="55" spans="1:10" ht="15" customHeight="1">
      <c r="A55" s="8" t="s">
        <v>129</v>
      </c>
      <c r="B55" s="21">
        <f>+((3.14*B16*B16/4*B12)/B27)/1000000</f>
        <v>28.513235401433487</v>
      </c>
      <c r="C55" s="17" t="s">
        <v>89</v>
      </c>
      <c r="D55" s="102" t="s">
        <v>130</v>
      </c>
      <c r="E55" s="103"/>
      <c r="F55" s="103"/>
      <c r="G55" s="103"/>
      <c r="H55" s="103"/>
      <c r="I55" s="104"/>
      <c r="J55" s="32"/>
    </row>
    <row r="56" spans="1:10" ht="15" customHeight="1">
      <c r="A56" s="8" t="s">
        <v>111</v>
      </c>
      <c r="B56" s="21">
        <f>+B55+B46</f>
        <v>126.43515852043349</v>
      </c>
      <c r="C56" s="17" t="s">
        <v>89</v>
      </c>
      <c r="D56" s="102" t="s">
        <v>131</v>
      </c>
      <c r="E56" s="103"/>
      <c r="F56" s="103"/>
      <c r="G56" s="103"/>
      <c r="H56" s="103"/>
      <c r="I56" s="104"/>
      <c r="J56" s="32"/>
    </row>
    <row r="57" spans="1:10" ht="36.75" customHeight="1">
      <c r="A57" s="114" t="s">
        <v>128</v>
      </c>
      <c r="B57" s="115"/>
      <c r="C57" s="115"/>
      <c r="D57" s="115"/>
      <c r="E57" s="115"/>
      <c r="F57" s="115"/>
      <c r="G57" s="115"/>
      <c r="H57" s="115"/>
      <c r="I57" s="116"/>
      <c r="J57" s="32"/>
    </row>
    <row r="58" spans="1:10" ht="37.5" customHeight="1">
      <c r="A58" s="111" t="s">
        <v>137</v>
      </c>
      <c r="B58" s="112"/>
      <c r="C58" s="113"/>
      <c r="D58" s="117" t="str">
        <f>+IF(B56&lt;B51,"OK, a força no parafuso, em operação, resultante da pressão interna mais a tensão de aperto c/ base em 50% da tensão de escoamento a frio é menor do que a força na tensão de escoamento na temperatura de projeto. Valor a ser adotado = Fy50% ","A força no parafuso, em operação, resultante da pressão interna mais a tensão de aperto c/ base em 50% da tensão de escoamento a frio é maior do que a força na tensão de escoamento na temperatura de projeto. Valor a ser adotado = Fyop - Fpi ")</f>
        <v>OK, a força no parafuso, em operação, resultante da pressão interna mais a tensão de aperto c/ base em 50% da tensão de escoamento a frio é menor do que a força na tensão de escoamento na temperatura de projeto. Valor a ser adotado = Fy50% </v>
      </c>
      <c r="E58" s="118"/>
      <c r="F58" s="118"/>
      <c r="G58" s="118"/>
      <c r="H58" s="118"/>
      <c r="I58" s="119"/>
      <c r="J58" s="32"/>
    </row>
    <row r="59" spans="1:10" ht="13.5" customHeight="1">
      <c r="A59" s="111" t="s">
        <v>133</v>
      </c>
      <c r="B59" s="112"/>
      <c r="C59" s="113"/>
      <c r="D59" s="90">
        <f>+IF(B56&lt;B51,B46,B51-B55)</f>
        <v>97.921923119</v>
      </c>
      <c r="E59" s="135" t="s">
        <v>89</v>
      </c>
      <c r="F59" s="135"/>
      <c r="G59" s="135"/>
      <c r="H59" s="135"/>
      <c r="I59" s="136"/>
      <c r="J59" s="32"/>
    </row>
    <row r="60" spans="1:10" ht="25.5" customHeight="1">
      <c r="A60" s="99" t="s">
        <v>132</v>
      </c>
      <c r="B60" s="100"/>
      <c r="C60" s="100"/>
      <c r="D60" s="100"/>
      <c r="E60" s="100"/>
      <c r="F60" s="100"/>
      <c r="G60" s="100"/>
      <c r="H60" s="100"/>
      <c r="I60" s="101"/>
      <c r="J60" s="32"/>
    </row>
    <row r="61" spans="1:10" ht="25.5" customHeight="1">
      <c r="A61" s="111" t="s">
        <v>138</v>
      </c>
      <c r="B61" s="112"/>
      <c r="C61" s="113"/>
      <c r="D61" s="117" t="str">
        <f>+IF(D59&gt;B36,"Ok, a força a ser adotada é maior do que a força mínima requerida pelo APPENDIX 2 ASME VIII Division 1, nas condições de projeto","Reanalisar o projeto da junta flangeada porque a força calculada nos parafusos é menor do que a força mínima requerida pelo APPENDIX 2 ASME VIII Division 1")</f>
        <v>Ok, a força a ser adotada é maior do que a força mínima requerida pelo APPENDIX 2 ASME VIII Division 1, nas condições de projeto</v>
      </c>
      <c r="E61" s="118"/>
      <c r="F61" s="118"/>
      <c r="G61" s="118"/>
      <c r="H61" s="118"/>
      <c r="I61" s="119"/>
      <c r="J61" s="32"/>
    </row>
    <row r="62" spans="1:10" ht="25.5" customHeight="1">
      <c r="A62" s="99" t="s">
        <v>134</v>
      </c>
      <c r="B62" s="100"/>
      <c r="C62" s="100"/>
      <c r="D62" s="100"/>
      <c r="E62" s="100"/>
      <c r="F62" s="100"/>
      <c r="G62" s="100"/>
      <c r="H62" s="100"/>
      <c r="I62" s="101"/>
      <c r="J62" s="32"/>
    </row>
    <row r="63" spans="1:10" ht="12.75">
      <c r="A63" s="8" t="s">
        <v>5</v>
      </c>
      <c r="B63" s="66">
        <v>0.875</v>
      </c>
      <c r="C63" s="17" t="s">
        <v>41</v>
      </c>
      <c r="D63" s="1" t="s">
        <v>70</v>
      </c>
      <c r="E63" s="2"/>
      <c r="F63" s="2"/>
      <c r="G63" s="2"/>
      <c r="H63" s="2"/>
      <c r="I63" s="9"/>
      <c r="J63" s="32"/>
    </row>
    <row r="64" spans="1:10" ht="21.75" customHeight="1">
      <c r="A64" s="8" t="s">
        <v>8</v>
      </c>
      <c r="B64" s="53">
        <v>0.12</v>
      </c>
      <c r="C64" s="17" t="s">
        <v>69</v>
      </c>
      <c r="D64" s="102" t="s">
        <v>79</v>
      </c>
      <c r="E64" s="103"/>
      <c r="F64" s="103"/>
      <c r="G64" s="103"/>
      <c r="H64" s="103"/>
      <c r="I64" s="104"/>
      <c r="J64" s="32"/>
    </row>
    <row r="65" spans="1:10" ht="23.25" customHeight="1">
      <c r="A65" s="8" t="s">
        <v>10</v>
      </c>
      <c r="B65" s="53">
        <v>0.12</v>
      </c>
      <c r="C65" s="17" t="s">
        <v>69</v>
      </c>
      <c r="D65" s="102" t="s">
        <v>78</v>
      </c>
      <c r="E65" s="103"/>
      <c r="F65" s="103"/>
      <c r="G65" s="103"/>
      <c r="H65" s="103"/>
      <c r="I65" s="104"/>
      <c r="J65" s="32"/>
    </row>
    <row r="66" spans="1:10" ht="22.5" customHeight="1">
      <c r="A66" s="8" t="s">
        <v>9</v>
      </c>
      <c r="B66" s="53">
        <v>20.39</v>
      </c>
      <c r="C66" s="17" t="s">
        <v>39</v>
      </c>
      <c r="D66" s="102" t="s">
        <v>81</v>
      </c>
      <c r="E66" s="103"/>
      <c r="F66" s="103"/>
      <c r="G66" s="103"/>
      <c r="H66" s="103"/>
      <c r="I66" s="104"/>
      <c r="J66" s="32"/>
    </row>
    <row r="67" spans="1:10" ht="12.75">
      <c r="A67" s="8" t="s">
        <v>144</v>
      </c>
      <c r="B67" s="53">
        <v>30</v>
      </c>
      <c r="C67" s="17" t="s">
        <v>45</v>
      </c>
      <c r="D67" s="96" t="s">
        <v>71</v>
      </c>
      <c r="E67" s="97"/>
      <c r="F67" s="97"/>
      <c r="G67" s="97"/>
      <c r="H67" s="97"/>
      <c r="I67" s="98"/>
      <c r="J67" s="32"/>
    </row>
    <row r="68" spans="1:10" ht="12.75">
      <c r="A68" s="8" t="s">
        <v>143</v>
      </c>
      <c r="B68" s="7">
        <f>(B67/360)*PI()</f>
        <v>0.2617993877991494</v>
      </c>
      <c r="C68" s="17" t="s">
        <v>47</v>
      </c>
      <c r="D68" s="96" t="s">
        <v>72</v>
      </c>
      <c r="E68" s="97"/>
      <c r="F68" s="97"/>
      <c r="G68" s="97"/>
      <c r="H68" s="97"/>
      <c r="I68" s="98"/>
      <c r="J68" s="32"/>
    </row>
    <row r="69" spans="1:10" ht="12.75">
      <c r="A69" s="8"/>
      <c r="B69" s="53">
        <v>9</v>
      </c>
      <c r="C69" s="17" t="s">
        <v>46</v>
      </c>
      <c r="D69" s="96" t="s">
        <v>80</v>
      </c>
      <c r="E69" s="97"/>
      <c r="F69" s="97"/>
      <c r="G69" s="97"/>
      <c r="H69" s="97"/>
      <c r="I69" s="98"/>
      <c r="J69" s="32"/>
    </row>
    <row r="70" spans="1:10" ht="12.75">
      <c r="A70" s="8"/>
      <c r="B70" s="68">
        <v>36.5</v>
      </c>
      <c r="C70" s="17" t="s">
        <v>39</v>
      </c>
      <c r="D70" s="96" t="s">
        <v>73</v>
      </c>
      <c r="E70" s="97"/>
      <c r="F70" s="97"/>
      <c r="G70" s="97"/>
      <c r="H70" s="97"/>
      <c r="I70" s="98"/>
      <c r="J70" s="32"/>
    </row>
    <row r="71" spans="1:10" ht="12.75">
      <c r="A71" s="8" t="s">
        <v>13</v>
      </c>
      <c r="B71" s="7">
        <f>25.4/B69</f>
        <v>2.822222222222222</v>
      </c>
      <c r="C71" s="17" t="s">
        <v>39</v>
      </c>
      <c r="D71" s="96" t="s">
        <v>82</v>
      </c>
      <c r="E71" s="97"/>
      <c r="F71" s="97"/>
      <c r="G71" s="97"/>
      <c r="H71" s="97"/>
      <c r="I71" s="98"/>
      <c r="J71" s="32"/>
    </row>
    <row r="72" spans="1:10" ht="21.75" customHeight="1">
      <c r="A72" s="8" t="s">
        <v>7</v>
      </c>
      <c r="B72" s="5">
        <f>(B70+B63*25.4)/2</f>
        <v>29.362499999999997</v>
      </c>
      <c r="C72" s="17" t="s">
        <v>39</v>
      </c>
      <c r="D72" s="108" t="s">
        <v>83</v>
      </c>
      <c r="E72" s="109"/>
      <c r="F72" s="109"/>
      <c r="G72" s="109"/>
      <c r="H72" s="109"/>
      <c r="I72" s="110"/>
      <c r="J72" s="32"/>
    </row>
    <row r="73" spans="1:10" ht="12.75">
      <c r="A73" s="8" t="s">
        <v>12</v>
      </c>
      <c r="B73" s="7">
        <f>ATAN(B71/(PI()*B66))</f>
        <v>0.04402945822637652</v>
      </c>
      <c r="C73" s="17" t="s">
        <v>47</v>
      </c>
      <c r="D73" s="96" t="s">
        <v>74</v>
      </c>
      <c r="E73" s="97"/>
      <c r="F73" s="97"/>
      <c r="G73" s="97"/>
      <c r="H73" s="97"/>
      <c r="I73" s="98"/>
      <c r="J73" s="32"/>
    </row>
    <row r="74" spans="1:10" ht="13.5" thickBot="1">
      <c r="A74" s="11" t="s">
        <v>6</v>
      </c>
      <c r="B74" s="25">
        <f>((D59/2)*1000*((B72*B64)+(B66)*((B65+(COS(B68)*TAN(B73)))/(COS(B68)-(B65*TAN(B73))))))/1000</f>
        <v>341.44592566945994</v>
      </c>
      <c r="C74" s="24" t="s">
        <v>92</v>
      </c>
      <c r="D74" s="105" t="s">
        <v>145</v>
      </c>
      <c r="E74" s="106"/>
      <c r="F74" s="106"/>
      <c r="G74" s="106"/>
      <c r="H74" s="106"/>
      <c r="I74" s="107"/>
      <c r="J74" s="32"/>
    </row>
  </sheetData>
  <sheetProtection/>
  <mergeCells count="80">
    <mergeCell ref="D74:I74"/>
    <mergeCell ref="D70:I70"/>
    <mergeCell ref="D71:I71"/>
    <mergeCell ref="D72:I72"/>
    <mergeCell ref="D73:I73"/>
    <mergeCell ref="A62:I62"/>
    <mergeCell ref="D69:I69"/>
    <mergeCell ref="D68:I68"/>
    <mergeCell ref="D65:I65"/>
    <mergeCell ref="D66:I66"/>
    <mergeCell ref="D67:I67"/>
    <mergeCell ref="D64:I64"/>
    <mergeCell ref="A58:C58"/>
    <mergeCell ref="A59:C59"/>
    <mergeCell ref="E59:I59"/>
    <mergeCell ref="D58:I58"/>
    <mergeCell ref="A60:I60"/>
    <mergeCell ref="A61:C61"/>
    <mergeCell ref="D61:I61"/>
    <mergeCell ref="A53:C53"/>
    <mergeCell ref="D53:I53"/>
    <mergeCell ref="A54:I54"/>
    <mergeCell ref="D55:I55"/>
    <mergeCell ref="D56:I56"/>
    <mergeCell ref="A57:I57"/>
    <mergeCell ref="A48:C48"/>
    <mergeCell ref="A49:I49"/>
    <mergeCell ref="D50:I50"/>
    <mergeCell ref="A52:I52"/>
    <mergeCell ref="D51:I51"/>
    <mergeCell ref="D48:I48"/>
    <mergeCell ref="D40:I40"/>
    <mergeCell ref="A41:I41"/>
    <mergeCell ref="D42:I42"/>
    <mergeCell ref="A43:I43"/>
    <mergeCell ref="D46:I46"/>
    <mergeCell ref="A47:I47"/>
    <mergeCell ref="D44:I44"/>
    <mergeCell ref="D45:I45"/>
    <mergeCell ref="A42:C42"/>
    <mergeCell ref="D33:I33"/>
    <mergeCell ref="D34:I34"/>
    <mergeCell ref="D36:I36"/>
    <mergeCell ref="D38:I38"/>
    <mergeCell ref="D39:I39"/>
    <mergeCell ref="A37:I37"/>
    <mergeCell ref="D26:I26"/>
    <mergeCell ref="D28:I28"/>
    <mergeCell ref="D29:I29"/>
    <mergeCell ref="D30:I30"/>
    <mergeCell ref="D31:I31"/>
    <mergeCell ref="D32:I32"/>
    <mergeCell ref="D17:I17"/>
    <mergeCell ref="D18:I18"/>
    <mergeCell ref="D21:I21"/>
    <mergeCell ref="D24:I24"/>
    <mergeCell ref="D25:I25"/>
    <mergeCell ref="A23:I23"/>
    <mergeCell ref="A5:B5"/>
    <mergeCell ref="C5:I5"/>
    <mergeCell ref="A6:B6"/>
    <mergeCell ref="C6:I6"/>
    <mergeCell ref="A7:B7"/>
    <mergeCell ref="C7:I7"/>
    <mergeCell ref="A1:G1"/>
    <mergeCell ref="H1:I1"/>
    <mergeCell ref="A2:G2"/>
    <mergeCell ref="H2:I2"/>
    <mergeCell ref="A3:I3"/>
    <mergeCell ref="A4:I4"/>
    <mergeCell ref="A8:I8"/>
    <mergeCell ref="D19:I19"/>
    <mergeCell ref="A20:I20"/>
    <mergeCell ref="D22:I22"/>
    <mergeCell ref="D11:I11"/>
    <mergeCell ref="D12:I12"/>
    <mergeCell ref="D13:I13"/>
    <mergeCell ref="D14:I14"/>
    <mergeCell ref="D15:I15"/>
    <mergeCell ref="D16:I16"/>
  </mergeCells>
  <printOptions/>
  <pageMargins left="0.787401575" right="0.787401575" top="0.47" bottom="0.5" header="0.492125985" footer="0.49212598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4"/>
  <sheetViews>
    <sheetView zoomScale="124" zoomScaleNormal="124" zoomScalePageLayoutView="0" workbookViewId="0" topLeftCell="A1">
      <selection activeCell="B9" sqref="B9"/>
    </sheetView>
  </sheetViews>
  <sheetFormatPr defaultColWidth="9.140625" defaultRowHeight="12.75"/>
  <cols>
    <col min="1" max="1" width="4.57421875" style="42" customWidth="1"/>
    <col min="2" max="2" width="10.00390625" style="71" bestFit="1" customWidth="1"/>
    <col min="3" max="3" width="4.57421875" style="42" customWidth="1"/>
    <col min="4" max="4" width="9.140625" style="42" customWidth="1"/>
    <col min="5" max="6" width="10.421875" style="42" customWidth="1"/>
    <col min="7" max="8" width="9.140625" style="42" customWidth="1"/>
    <col min="9" max="9" width="18.421875" style="42" customWidth="1"/>
    <col min="10" max="16384" width="9.140625" style="42" customWidth="1"/>
  </cols>
  <sheetData>
    <row r="1" spans="1:9" ht="15" customHeight="1">
      <c r="A1" s="198" t="s">
        <v>37</v>
      </c>
      <c r="B1" s="199"/>
      <c r="C1" s="199"/>
      <c r="D1" s="199"/>
      <c r="E1" s="199"/>
      <c r="F1" s="199"/>
      <c r="G1" s="200"/>
      <c r="H1" s="188" t="s">
        <v>49</v>
      </c>
      <c r="I1" s="189"/>
    </row>
    <row r="2" spans="1:9" ht="12.75">
      <c r="A2" s="201" t="s">
        <v>86</v>
      </c>
      <c r="B2" s="202"/>
      <c r="C2" s="202"/>
      <c r="D2" s="202"/>
      <c r="E2" s="202"/>
      <c r="F2" s="202"/>
      <c r="G2" s="203"/>
      <c r="H2" s="190" t="s">
        <v>16</v>
      </c>
      <c r="I2" s="191"/>
    </row>
    <row r="3" spans="1:9" ht="12.75">
      <c r="A3" s="192"/>
      <c r="B3" s="193"/>
      <c r="C3" s="193"/>
      <c r="D3" s="193"/>
      <c r="E3" s="193"/>
      <c r="F3" s="193"/>
      <c r="G3" s="193"/>
      <c r="H3" s="193"/>
      <c r="I3" s="194"/>
    </row>
    <row r="4" spans="1:9" ht="15" thickBot="1">
      <c r="A4" s="195" t="s">
        <v>38</v>
      </c>
      <c r="B4" s="196"/>
      <c r="C4" s="196"/>
      <c r="D4" s="196"/>
      <c r="E4" s="196"/>
      <c r="F4" s="196"/>
      <c r="G4" s="196"/>
      <c r="H4" s="196"/>
      <c r="I4" s="197"/>
    </row>
    <row r="5" spans="1:10" ht="12.75" customHeight="1">
      <c r="A5" s="186" t="s">
        <v>94</v>
      </c>
      <c r="B5" s="187"/>
      <c r="C5" s="163" t="s">
        <v>84</v>
      </c>
      <c r="D5" s="163"/>
      <c r="E5" s="163"/>
      <c r="F5" s="163"/>
      <c r="G5" s="163"/>
      <c r="H5" s="163"/>
      <c r="I5" s="164"/>
      <c r="J5" s="72"/>
    </row>
    <row r="6" spans="1:10" ht="12" customHeight="1">
      <c r="A6" s="186" t="s">
        <v>96</v>
      </c>
      <c r="B6" s="187"/>
      <c r="C6" s="163" t="s">
        <v>103</v>
      </c>
      <c r="D6" s="163"/>
      <c r="E6" s="163"/>
      <c r="F6" s="163"/>
      <c r="G6" s="163"/>
      <c r="H6" s="163"/>
      <c r="I6" s="164"/>
      <c r="J6" s="72"/>
    </row>
    <row r="7" spans="1:10" ht="12" customHeight="1">
      <c r="A7" s="186" t="s">
        <v>95</v>
      </c>
      <c r="B7" s="187"/>
      <c r="C7" s="163" t="s">
        <v>104</v>
      </c>
      <c r="D7" s="163"/>
      <c r="E7" s="163"/>
      <c r="F7" s="163"/>
      <c r="G7" s="163"/>
      <c r="H7" s="163"/>
      <c r="I7" s="164"/>
      <c r="J7" s="72"/>
    </row>
    <row r="8" spans="1:9" ht="25.5" customHeight="1">
      <c r="A8" s="172" t="s">
        <v>97</v>
      </c>
      <c r="B8" s="173"/>
      <c r="C8" s="173"/>
      <c r="D8" s="173"/>
      <c r="E8" s="173"/>
      <c r="F8" s="173"/>
      <c r="G8" s="173"/>
      <c r="H8" s="173"/>
      <c r="I8" s="174"/>
    </row>
    <row r="9" spans="1:9" ht="12.75">
      <c r="A9" s="44" t="s">
        <v>2</v>
      </c>
      <c r="B9" s="63">
        <v>29.842519</v>
      </c>
      <c r="C9" s="46" t="s">
        <v>41</v>
      </c>
      <c r="D9" s="47" t="s">
        <v>50</v>
      </c>
      <c r="E9" s="48"/>
      <c r="F9" s="48"/>
      <c r="G9" s="48"/>
      <c r="H9" s="48"/>
      <c r="I9" s="49"/>
    </row>
    <row r="10" spans="1:9" ht="12.75">
      <c r="A10" s="44" t="s">
        <v>3</v>
      </c>
      <c r="B10" s="63">
        <v>28.818897</v>
      </c>
      <c r="C10" s="46" t="s">
        <v>41</v>
      </c>
      <c r="D10" s="50" t="s">
        <v>51</v>
      </c>
      <c r="E10" s="51"/>
      <c r="F10" s="51"/>
      <c r="G10" s="51"/>
      <c r="H10" s="51"/>
      <c r="I10" s="52"/>
    </row>
    <row r="11" spans="1:9" ht="12.75">
      <c r="A11" s="44" t="s">
        <v>1</v>
      </c>
      <c r="B11" s="53">
        <v>3.75</v>
      </c>
      <c r="C11" s="46" t="s">
        <v>69</v>
      </c>
      <c r="D11" s="180" t="s">
        <v>25</v>
      </c>
      <c r="E11" s="181"/>
      <c r="F11" s="181"/>
      <c r="G11" s="181"/>
      <c r="H11" s="181"/>
      <c r="I11" s="182"/>
    </row>
    <row r="12" spans="1:9" ht="12.75">
      <c r="A12" s="44" t="s">
        <v>24</v>
      </c>
      <c r="B12" s="73">
        <v>227.57</v>
      </c>
      <c r="C12" s="46" t="s">
        <v>40</v>
      </c>
      <c r="D12" s="183" t="s">
        <v>52</v>
      </c>
      <c r="E12" s="184"/>
      <c r="F12" s="184"/>
      <c r="G12" s="184"/>
      <c r="H12" s="184"/>
      <c r="I12" s="185"/>
    </row>
    <row r="13" spans="1:9" ht="12.75">
      <c r="A13" s="44" t="s">
        <v>18</v>
      </c>
      <c r="B13" s="55">
        <f>((B9-B10)/2)</f>
        <v>0.5118109999999998</v>
      </c>
      <c r="C13" s="46" t="s">
        <v>41</v>
      </c>
      <c r="D13" s="183" t="s">
        <v>53</v>
      </c>
      <c r="E13" s="184"/>
      <c r="F13" s="184"/>
      <c r="G13" s="184"/>
      <c r="H13" s="184"/>
      <c r="I13" s="185"/>
    </row>
    <row r="14" spans="1:9" ht="12.75">
      <c r="A14" s="44" t="s">
        <v>19</v>
      </c>
      <c r="B14" s="55">
        <f>+B13/2</f>
        <v>0.2559054999999999</v>
      </c>
      <c r="C14" s="46" t="s">
        <v>41</v>
      </c>
      <c r="D14" s="204" t="s">
        <v>56</v>
      </c>
      <c r="E14" s="205"/>
      <c r="F14" s="205"/>
      <c r="G14" s="205"/>
      <c r="H14" s="205"/>
      <c r="I14" s="206"/>
    </row>
    <row r="15" spans="1:9" ht="25.5" customHeight="1">
      <c r="A15" s="44" t="s">
        <v>17</v>
      </c>
      <c r="B15" s="55">
        <f>IF(B14&lt;=0.25,B14,0.5*SQRT(B14))</f>
        <v>0.2529355154975275</v>
      </c>
      <c r="C15" s="46" t="s">
        <v>41</v>
      </c>
      <c r="D15" s="177" t="s">
        <v>55</v>
      </c>
      <c r="E15" s="178"/>
      <c r="F15" s="178"/>
      <c r="G15" s="178"/>
      <c r="H15" s="178"/>
      <c r="I15" s="179"/>
    </row>
    <row r="16" spans="1:9" ht="12.75" customHeight="1">
      <c r="A16" s="44" t="s">
        <v>23</v>
      </c>
      <c r="B16" s="55">
        <f>IF(B14&lt;=0.25,((B9+B10)/2),B9-(2*B15))</f>
        <v>29.336647969004943</v>
      </c>
      <c r="C16" s="46" t="s">
        <v>41</v>
      </c>
      <c r="D16" s="177" t="s">
        <v>54</v>
      </c>
      <c r="E16" s="178"/>
      <c r="F16" s="178"/>
      <c r="G16" s="178"/>
      <c r="H16" s="178"/>
      <c r="I16" s="179"/>
    </row>
    <row r="17" spans="1:9" ht="12.75">
      <c r="A17" s="44" t="s">
        <v>21</v>
      </c>
      <c r="B17" s="38">
        <f>B12*0.785*B16*B16</f>
        <v>153746.6441725394</v>
      </c>
      <c r="C17" s="46" t="s">
        <v>42</v>
      </c>
      <c r="D17" s="177" t="s">
        <v>85</v>
      </c>
      <c r="E17" s="178"/>
      <c r="F17" s="178"/>
      <c r="G17" s="178"/>
      <c r="H17" s="178"/>
      <c r="I17" s="179"/>
    </row>
    <row r="18" spans="1:9" ht="12.75" customHeight="1">
      <c r="A18" s="44" t="s">
        <v>22</v>
      </c>
      <c r="B18" s="38">
        <f>B11*B12*2*B15*B16*3.14</f>
        <v>39767.31091522371</v>
      </c>
      <c r="C18" s="46" t="s">
        <v>42</v>
      </c>
      <c r="D18" s="177" t="s">
        <v>98</v>
      </c>
      <c r="E18" s="178"/>
      <c r="F18" s="178"/>
      <c r="G18" s="178"/>
      <c r="H18" s="178"/>
      <c r="I18" s="179"/>
    </row>
    <row r="19" spans="1:9" ht="12.75" customHeight="1">
      <c r="A19" s="59" t="s">
        <v>20</v>
      </c>
      <c r="B19" s="38">
        <f>B17+B18</f>
        <v>193513.9550877631</v>
      </c>
      <c r="C19" s="46" t="s">
        <v>42</v>
      </c>
      <c r="D19" s="177" t="s">
        <v>108</v>
      </c>
      <c r="E19" s="178"/>
      <c r="F19" s="178"/>
      <c r="G19" s="178"/>
      <c r="H19" s="178"/>
      <c r="I19" s="179"/>
    </row>
    <row r="20" spans="1:9" ht="24" customHeight="1">
      <c r="A20" s="172" t="s">
        <v>99</v>
      </c>
      <c r="B20" s="173"/>
      <c r="C20" s="173"/>
      <c r="D20" s="173"/>
      <c r="E20" s="173"/>
      <c r="F20" s="173"/>
      <c r="G20" s="173"/>
      <c r="H20" s="173"/>
      <c r="I20" s="174"/>
    </row>
    <row r="21" spans="1:9" ht="12.75" customHeight="1">
      <c r="A21" s="44" t="s">
        <v>0</v>
      </c>
      <c r="B21" s="60">
        <v>7600</v>
      </c>
      <c r="C21" s="46" t="s">
        <v>40</v>
      </c>
      <c r="D21" s="177" t="s">
        <v>100</v>
      </c>
      <c r="E21" s="178"/>
      <c r="F21" s="178"/>
      <c r="G21" s="178"/>
      <c r="H21" s="178"/>
      <c r="I21" s="179"/>
    </row>
    <row r="22" spans="1:9" ht="12.75">
      <c r="A22" s="44" t="s">
        <v>26</v>
      </c>
      <c r="B22" s="38">
        <f>B15*B16*B21*3.14</f>
        <v>177077.5661441609</v>
      </c>
      <c r="C22" s="46" t="s">
        <v>42</v>
      </c>
      <c r="D22" s="177" t="s">
        <v>57</v>
      </c>
      <c r="E22" s="178"/>
      <c r="F22" s="178"/>
      <c r="G22" s="178"/>
      <c r="H22" s="178"/>
      <c r="I22" s="179"/>
    </row>
    <row r="23" spans="1:11" ht="25.5" customHeight="1">
      <c r="A23" s="172" t="s">
        <v>110</v>
      </c>
      <c r="B23" s="173"/>
      <c r="C23" s="173"/>
      <c r="D23" s="173"/>
      <c r="E23" s="173"/>
      <c r="F23" s="173"/>
      <c r="G23" s="173"/>
      <c r="H23" s="173"/>
      <c r="I23" s="174"/>
      <c r="J23" s="43"/>
      <c r="K23" s="43"/>
    </row>
    <row r="24" spans="1:9" ht="12.75">
      <c r="A24" s="44" t="s">
        <v>6</v>
      </c>
      <c r="B24" s="53">
        <v>260</v>
      </c>
      <c r="C24" s="46" t="s">
        <v>44</v>
      </c>
      <c r="D24" s="204" t="s">
        <v>58</v>
      </c>
      <c r="E24" s="205"/>
      <c r="F24" s="205"/>
      <c r="G24" s="205"/>
      <c r="H24" s="205"/>
      <c r="I24" s="206"/>
    </row>
    <row r="25" spans="1:9" ht="12.75">
      <c r="A25" s="44" t="s">
        <v>27</v>
      </c>
      <c r="B25" s="61">
        <v>25000</v>
      </c>
      <c r="C25" s="46" t="s">
        <v>40</v>
      </c>
      <c r="D25" s="204" t="s">
        <v>59</v>
      </c>
      <c r="E25" s="205"/>
      <c r="F25" s="205"/>
      <c r="G25" s="205"/>
      <c r="H25" s="205"/>
      <c r="I25" s="206"/>
    </row>
    <row r="26" spans="1:9" ht="12.75">
      <c r="A26" s="44" t="s">
        <v>28</v>
      </c>
      <c r="B26" s="61">
        <v>25000</v>
      </c>
      <c r="C26" s="46" t="s">
        <v>40</v>
      </c>
      <c r="D26" s="204" t="s">
        <v>60</v>
      </c>
      <c r="E26" s="205"/>
      <c r="F26" s="205"/>
      <c r="G26" s="205"/>
      <c r="H26" s="205"/>
      <c r="I26" s="206"/>
    </row>
    <row r="27" spans="1:9" ht="12.75">
      <c r="A27" s="44" t="s">
        <v>4</v>
      </c>
      <c r="B27" s="62">
        <v>24</v>
      </c>
      <c r="C27" s="46" t="s">
        <v>69</v>
      </c>
      <c r="D27" s="50" t="s">
        <v>14</v>
      </c>
      <c r="E27" s="51"/>
      <c r="F27" s="51"/>
      <c r="G27" s="51"/>
      <c r="H27" s="51"/>
      <c r="I27" s="52"/>
    </row>
    <row r="28" spans="1:9" ht="12.75">
      <c r="A28" s="44" t="s">
        <v>66</v>
      </c>
      <c r="B28" s="74">
        <v>0.4192</v>
      </c>
      <c r="C28" s="46" t="s">
        <v>68</v>
      </c>
      <c r="D28" s="204" t="s">
        <v>65</v>
      </c>
      <c r="E28" s="205"/>
      <c r="F28" s="205"/>
      <c r="G28" s="205"/>
      <c r="H28" s="205"/>
      <c r="I28" s="206"/>
    </row>
    <row r="29" spans="1:9" ht="12.75">
      <c r="A29" s="44" t="s">
        <v>32</v>
      </c>
      <c r="B29" s="55">
        <f>+B28*B27</f>
        <v>10.0608</v>
      </c>
      <c r="C29" s="46" t="s">
        <v>68</v>
      </c>
      <c r="D29" s="204" t="s">
        <v>67</v>
      </c>
      <c r="E29" s="205"/>
      <c r="F29" s="205"/>
      <c r="G29" s="205"/>
      <c r="H29" s="205"/>
      <c r="I29" s="206"/>
    </row>
    <row r="30" spans="1:9" ht="12.75">
      <c r="A30" s="44" t="s">
        <v>29</v>
      </c>
      <c r="B30" s="55">
        <f>B19/B25</f>
        <v>7.740558203510524</v>
      </c>
      <c r="C30" s="46" t="s">
        <v>68</v>
      </c>
      <c r="D30" s="204" t="s">
        <v>63</v>
      </c>
      <c r="E30" s="205"/>
      <c r="F30" s="205"/>
      <c r="G30" s="205"/>
      <c r="H30" s="205"/>
      <c r="I30" s="206"/>
    </row>
    <row r="31" spans="1:9" ht="12.75">
      <c r="A31" s="44" t="s">
        <v>30</v>
      </c>
      <c r="B31" s="55">
        <f>B22/B26</f>
        <v>7.083102645766436</v>
      </c>
      <c r="C31" s="46" t="s">
        <v>68</v>
      </c>
      <c r="D31" s="204" t="s">
        <v>64</v>
      </c>
      <c r="E31" s="205"/>
      <c r="F31" s="205"/>
      <c r="G31" s="205"/>
      <c r="H31" s="205"/>
      <c r="I31" s="206"/>
    </row>
    <row r="32" spans="1:9" ht="12.75">
      <c r="A32" s="44" t="s">
        <v>31</v>
      </c>
      <c r="B32" s="55">
        <f>IF(B30&gt;B31,B30,B31)</f>
        <v>7.740558203510524</v>
      </c>
      <c r="C32" s="46" t="s">
        <v>68</v>
      </c>
      <c r="D32" s="204" t="s">
        <v>61</v>
      </c>
      <c r="E32" s="205"/>
      <c r="F32" s="205"/>
      <c r="G32" s="205"/>
      <c r="H32" s="205"/>
      <c r="I32" s="206"/>
    </row>
    <row r="33" spans="1:9" ht="12.75">
      <c r="A33" s="44" t="s">
        <v>33</v>
      </c>
      <c r="B33" s="38">
        <f>0.5*(B32+B29)*B26</f>
        <v>222516.97754388154</v>
      </c>
      <c r="C33" s="46" t="s">
        <v>42</v>
      </c>
      <c r="D33" s="204" t="s">
        <v>62</v>
      </c>
      <c r="E33" s="205"/>
      <c r="F33" s="205"/>
      <c r="G33" s="205"/>
      <c r="H33" s="205"/>
      <c r="I33" s="206"/>
    </row>
    <row r="34" spans="1:9" ht="12.75">
      <c r="A34" s="44" t="s">
        <v>34</v>
      </c>
      <c r="B34" s="38">
        <f>B19</f>
        <v>193513.9550877631</v>
      </c>
      <c r="C34" s="46" t="s">
        <v>42</v>
      </c>
      <c r="D34" s="204" t="s">
        <v>20</v>
      </c>
      <c r="E34" s="205"/>
      <c r="F34" s="205"/>
      <c r="G34" s="205"/>
      <c r="H34" s="205"/>
      <c r="I34" s="206"/>
    </row>
    <row r="35" spans="1:9" ht="12.75">
      <c r="A35" s="44" t="s">
        <v>35</v>
      </c>
      <c r="B35" s="38">
        <f>IF(B33&gt;B34,B33,B34)</f>
        <v>222516.97754388154</v>
      </c>
      <c r="C35" s="46" t="s">
        <v>42</v>
      </c>
      <c r="D35" s="56" t="s">
        <v>93</v>
      </c>
      <c r="E35" s="57"/>
      <c r="F35" s="57"/>
      <c r="G35" s="57"/>
      <c r="H35" s="57"/>
      <c r="I35" s="58"/>
    </row>
    <row r="36" spans="1:9" ht="12.75" customHeight="1">
      <c r="A36" s="44" t="s">
        <v>115</v>
      </c>
      <c r="B36" s="38">
        <f>B35/B27</f>
        <v>9271.540730995064</v>
      </c>
      <c r="C36" s="46" t="s">
        <v>42</v>
      </c>
      <c r="D36" s="177" t="s">
        <v>101</v>
      </c>
      <c r="E36" s="178"/>
      <c r="F36" s="178"/>
      <c r="G36" s="178"/>
      <c r="H36" s="178"/>
      <c r="I36" s="179"/>
    </row>
    <row r="37" spans="1:9" ht="25.5" customHeight="1">
      <c r="A37" s="172" t="s">
        <v>119</v>
      </c>
      <c r="B37" s="173"/>
      <c r="C37" s="173"/>
      <c r="D37" s="173"/>
      <c r="E37" s="173"/>
      <c r="F37" s="173"/>
      <c r="G37" s="173"/>
      <c r="H37" s="173"/>
      <c r="I37" s="174"/>
    </row>
    <row r="38" spans="1:9" ht="12.75">
      <c r="A38" s="44" t="s">
        <v>36</v>
      </c>
      <c r="B38" s="60">
        <v>26100</v>
      </c>
      <c r="C38" s="46" t="s">
        <v>40</v>
      </c>
      <c r="D38" s="167" t="s">
        <v>76</v>
      </c>
      <c r="E38" s="167"/>
      <c r="F38" s="167"/>
      <c r="G38" s="167"/>
      <c r="H38" s="167"/>
      <c r="I38" s="168"/>
    </row>
    <row r="39" spans="1:9" ht="12.75">
      <c r="A39" s="44" t="s">
        <v>139</v>
      </c>
      <c r="B39" s="64">
        <f>B15*B16*B38*3.14</f>
        <v>608121.6416266578</v>
      </c>
      <c r="C39" s="46" t="s">
        <v>42</v>
      </c>
      <c r="D39" s="165" t="s">
        <v>75</v>
      </c>
      <c r="E39" s="165"/>
      <c r="F39" s="165"/>
      <c r="G39" s="165"/>
      <c r="H39" s="165"/>
      <c r="I39" s="166"/>
    </row>
    <row r="40" spans="1:9" ht="12.75">
      <c r="A40" s="44" t="s">
        <v>117</v>
      </c>
      <c r="B40" s="64">
        <f>B39/B27</f>
        <v>25338.401734444076</v>
      </c>
      <c r="C40" s="46" t="s">
        <v>42</v>
      </c>
      <c r="D40" s="165" t="s">
        <v>118</v>
      </c>
      <c r="E40" s="165"/>
      <c r="F40" s="165"/>
      <c r="G40" s="165"/>
      <c r="H40" s="165"/>
      <c r="I40" s="166"/>
    </row>
    <row r="41" spans="1:10" ht="25.5" customHeight="1">
      <c r="A41" s="172" t="s">
        <v>121</v>
      </c>
      <c r="B41" s="173"/>
      <c r="C41" s="173"/>
      <c r="D41" s="173"/>
      <c r="E41" s="173"/>
      <c r="F41" s="173"/>
      <c r="G41" s="173"/>
      <c r="H41" s="173"/>
      <c r="I41" s="174"/>
      <c r="J41" s="41"/>
    </row>
    <row r="42" spans="1:10" ht="13.5" customHeight="1">
      <c r="A42" s="175" t="s">
        <v>120</v>
      </c>
      <c r="B42" s="176"/>
      <c r="C42" s="176"/>
      <c r="D42" s="169" t="str">
        <f>+IF(B36&lt;B40,"OK, a junta de vedação resiste ao esmagamento nas condições de projeto","Reanalisar, a Junta de Vedação não resiste ao esmagamento")</f>
        <v>OK, a junta de vedação resiste ao esmagamento nas condições de projeto</v>
      </c>
      <c r="E42" s="170"/>
      <c r="F42" s="170"/>
      <c r="G42" s="170"/>
      <c r="H42" s="170"/>
      <c r="I42" s="171"/>
      <c r="J42" s="41"/>
    </row>
    <row r="43" spans="1:9" ht="25.5" customHeight="1">
      <c r="A43" s="172" t="s">
        <v>122</v>
      </c>
      <c r="B43" s="173"/>
      <c r="C43" s="173"/>
      <c r="D43" s="173"/>
      <c r="E43" s="173"/>
      <c r="F43" s="173"/>
      <c r="G43" s="173"/>
      <c r="H43" s="173"/>
      <c r="I43" s="174"/>
    </row>
    <row r="44" spans="1:9" ht="12.75">
      <c r="A44" s="44" t="s">
        <v>15</v>
      </c>
      <c r="B44" s="60">
        <v>105000</v>
      </c>
      <c r="C44" s="46" t="s">
        <v>40</v>
      </c>
      <c r="D44" s="167" t="s">
        <v>102</v>
      </c>
      <c r="E44" s="167"/>
      <c r="F44" s="167"/>
      <c r="G44" s="167"/>
      <c r="H44" s="167"/>
      <c r="I44" s="168"/>
    </row>
    <row r="45" spans="1:9" ht="12.75">
      <c r="A45" s="44" t="s">
        <v>140</v>
      </c>
      <c r="B45" s="65">
        <f>+B44*0.5</f>
        <v>52500</v>
      </c>
      <c r="C45" s="46" t="s">
        <v>40</v>
      </c>
      <c r="D45" s="165" t="s">
        <v>77</v>
      </c>
      <c r="E45" s="165"/>
      <c r="F45" s="165"/>
      <c r="G45" s="165"/>
      <c r="H45" s="165"/>
      <c r="I45" s="166"/>
    </row>
    <row r="46" spans="1:10" ht="12.75" customHeight="1">
      <c r="A46" s="44" t="s">
        <v>123</v>
      </c>
      <c r="B46" s="64">
        <f>+B45*B28</f>
        <v>22008</v>
      </c>
      <c r="C46" s="46" t="s">
        <v>42</v>
      </c>
      <c r="D46" s="165" t="s">
        <v>141</v>
      </c>
      <c r="E46" s="165"/>
      <c r="F46" s="165"/>
      <c r="G46" s="165"/>
      <c r="H46" s="165"/>
      <c r="I46" s="166"/>
      <c r="J46" s="75">
        <f>+B46-((3.14*B16*B16/4)*B12/B27)</f>
        <v>15601.88982614419</v>
      </c>
    </row>
    <row r="47" spans="1:10" ht="25.5" customHeight="1">
      <c r="A47" s="172" t="s">
        <v>124</v>
      </c>
      <c r="B47" s="173"/>
      <c r="C47" s="173"/>
      <c r="D47" s="173"/>
      <c r="E47" s="173"/>
      <c r="F47" s="173"/>
      <c r="G47" s="173"/>
      <c r="H47" s="173"/>
      <c r="I47" s="174"/>
      <c r="J47" s="76"/>
    </row>
    <row r="48" spans="1:10" ht="25.5" customHeight="1">
      <c r="A48" s="207" t="s">
        <v>135</v>
      </c>
      <c r="B48" s="208"/>
      <c r="C48" s="209"/>
      <c r="D48" s="177" t="str">
        <f>+IF(B46&lt;B40,"OK, a junta de vedação resiste ao esmagamento na força correspondente a 50% da tensão de escoamento a frio","Reanalisar")</f>
        <v>OK, a junta de vedação resiste ao esmagamento na força correspondente a 50% da tensão de escoamento a frio</v>
      </c>
      <c r="E48" s="178"/>
      <c r="F48" s="178"/>
      <c r="G48" s="178"/>
      <c r="H48" s="178"/>
      <c r="I48" s="179"/>
      <c r="J48" s="41"/>
    </row>
    <row r="49" spans="1:10" ht="25.5" customHeight="1">
      <c r="A49" s="172" t="s">
        <v>125</v>
      </c>
      <c r="B49" s="173"/>
      <c r="C49" s="173"/>
      <c r="D49" s="173"/>
      <c r="E49" s="173"/>
      <c r="F49" s="173"/>
      <c r="G49" s="173"/>
      <c r="H49" s="173"/>
      <c r="I49" s="174"/>
      <c r="J49" s="41"/>
    </row>
    <row r="50" spans="1:10" ht="12.75">
      <c r="A50" s="44" t="s">
        <v>105</v>
      </c>
      <c r="B50" s="60">
        <v>88500</v>
      </c>
      <c r="C50" s="46" t="s">
        <v>40</v>
      </c>
      <c r="D50" s="177" t="s">
        <v>114</v>
      </c>
      <c r="E50" s="178"/>
      <c r="F50" s="178"/>
      <c r="G50" s="178"/>
      <c r="H50" s="178"/>
      <c r="I50" s="179"/>
      <c r="J50" s="76"/>
    </row>
    <row r="51" spans="1:10" ht="13.5" customHeight="1">
      <c r="A51" s="44" t="s">
        <v>106</v>
      </c>
      <c r="B51" s="64">
        <f>+B50*B28</f>
        <v>37099.200000000004</v>
      </c>
      <c r="C51" s="46" t="s">
        <v>42</v>
      </c>
      <c r="D51" s="177" t="s">
        <v>113</v>
      </c>
      <c r="E51" s="178"/>
      <c r="F51" s="178"/>
      <c r="G51" s="178"/>
      <c r="H51" s="178"/>
      <c r="I51" s="179"/>
      <c r="J51" s="76"/>
    </row>
    <row r="52" spans="1:10" ht="25.5" customHeight="1">
      <c r="A52" s="172" t="s">
        <v>126</v>
      </c>
      <c r="B52" s="173"/>
      <c r="C52" s="173"/>
      <c r="D52" s="173"/>
      <c r="E52" s="173"/>
      <c r="F52" s="173"/>
      <c r="G52" s="173"/>
      <c r="H52" s="173"/>
      <c r="I52" s="174"/>
      <c r="J52" s="41"/>
    </row>
    <row r="53" spans="1:10" ht="25.5" customHeight="1">
      <c r="A53" s="207" t="s">
        <v>136</v>
      </c>
      <c r="B53" s="208"/>
      <c r="C53" s="209"/>
      <c r="D53" s="213" t="str">
        <f>+IF(B46&lt;B51,"OK, a força a 50% da tensão de escoamento a frio é menor do que da tensão de escoamento na temperatura de projeto","Reanalisar")</f>
        <v>OK, a força a 50% da tensão de escoamento a frio é menor do que da tensão de escoamento na temperatura de projeto</v>
      </c>
      <c r="E53" s="214"/>
      <c r="F53" s="214"/>
      <c r="G53" s="214"/>
      <c r="H53" s="214"/>
      <c r="I53" s="215"/>
      <c r="J53" s="41"/>
    </row>
    <row r="54" spans="1:10" ht="25.5" customHeight="1">
      <c r="A54" s="210" t="s">
        <v>127</v>
      </c>
      <c r="B54" s="211"/>
      <c r="C54" s="211"/>
      <c r="D54" s="211"/>
      <c r="E54" s="211"/>
      <c r="F54" s="211"/>
      <c r="G54" s="211"/>
      <c r="H54" s="211"/>
      <c r="I54" s="212"/>
      <c r="J54" s="41"/>
    </row>
    <row r="55" spans="1:10" ht="15" customHeight="1">
      <c r="A55" s="44" t="s">
        <v>129</v>
      </c>
      <c r="B55" s="64">
        <f>+((3.14*B16*B16/4*B12)/B27)</f>
        <v>6406.11017385581</v>
      </c>
      <c r="C55" s="46" t="s">
        <v>42</v>
      </c>
      <c r="D55" s="177" t="s">
        <v>142</v>
      </c>
      <c r="E55" s="178"/>
      <c r="F55" s="178"/>
      <c r="G55" s="178"/>
      <c r="H55" s="178"/>
      <c r="I55" s="179"/>
      <c r="J55" s="41"/>
    </row>
    <row r="56" spans="1:10" ht="15" customHeight="1">
      <c r="A56" s="44" t="s">
        <v>111</v>
      </c>
      <c r="B56" s="64">
        <f>+B55+B46</f>
        <v>28414.11017385581</v>
      </c>
      <c r="C56" s="46" t="s">
        <v>42</v>
      </c>
      <c r="D56" s="177" t="s">
        <v>131</v>
      </c>
      <c r="E56" s="178"/>
      <c r="F56" s="178"/>
      <c r="G56" s="178"/>
      <c r="H56" s="178"/>
      <c r="I56" s="179"/>
      <c r="J56" s="41"/>
    </row>
    <row r="57" spans="1:10" ht="36.75" customHeight="1">
      <c r="A57" s="210" t="s">
        <v>128</v>
      </c>
      <c r="B57" s="211"/>
      <c r="C57" s="211"/>
      <c r="D57" s="211"/>
      <c r="E57" s="211"/>
      <c r="F57" s="211"/>
      <c r="G57" s="211"/>
      <c r="H57" s="211"/>
      <c r="I57" s="212"/>
      <c r="J57" s="41"/>
    </row>
    <row r="58" spans="1:10" ht="37.5" customHeight="1">
      <c r="A58" s="207" t="s">
        <v>137</v>
      </c>
      <c r="B58" s="208"/>
      <c r="C58" s="209"/>
      <c r="D58" s="213" t="str">
        <f>+IF(B56&lt;B51,"OK, a força no parafuso, em operação, resultante da pressão interna mais a tensão de aperto c/ base em 50% da tensão de escoamento a frio é menor do que a força na tensão de escoamento na temperatura de projeto. Valor a ser adotado = Fy50% ","A força no parafuso, em operação, resultante da pressão interna mais a tensão de aperto c/ base em 50% da tensão de escoamento a frio é maior do que a força na tensão de escoamento na temperatura de projeto. Valor a ser adotado = Fyop - Fpi ")</f>
        <v>OK, a força no parafuso, em operação, resultante da pressão interna mais a tensão de aperto c/ base em 50% da tensão de escoamento a frio é menor do que a força na tensão de escoamento na temperatura de projeto. Valor a ser adotado = Fy50% </v>
      </c>
      <c r="E58" s="214"/>
      <c r="F58" s="214"/>
      <c r="G58" s="214"/>
      <c r="H58" s="214"/>
      <c r="I58" s="215"/>
      <c r="J58" s="41"/>
    </row>
    <row r="59" spans="1:10" ht="13.5" customHeight="1">
      <c r="A59" s="207" t="s">
        <v>133</v>
      </c>
      <c r="B59" s="208"/>
      <c r="C59" s="209"/>
      <c r="D59" s="95">
        <f>+IF(B56&lt;B51,B46,B51-B55)</f>
        <v>22008</v>
      </c>
      <c r="E59" s="216" t="s">
        <v>42</v>
      </c>
      <c r="F59" s="216"/>
      <c r="G59" s="216"/>
      <c r="H59" s="216"/>
      <c r="I59" s="217"/>
      <c r="J59" s="41"/>
    </row>
    <row r="60" spans="1:10" ht="25.5" customHeight="1">
      <c r="A60" s="172" t="s">
        <v>132</v>
      </c>
      <c r="B60" s="173"/>
      <c r="C60" s="173"/>
      <c r="D60" s="173"/>
      <c r="E60" s="173"/>
      <c r="F60" s="173"/>
      <c r="G60" s="173"/>
      <c r="H60" s="173"/>
      <c r="I60" s="174"/>
      <c r="J60" s="41"/>
    </row>
    <row r="61" spans="1:10" ht="25.5" customHeight="1">
      <c r="A61" s="207" t="s">
        <v>138</v>
      </c>
      <c r="B61" s="208"/>
      <c r="C61" s="209"/>
      <c r="D61" s="213" t="str">
        <f>+IF(D59&gt;B36,"Ok, a força a ser adotada é maior do que a força mínima requerida pelo APPENDIX 2 ASME VIII Division 1, nas condições de projeto","Reanalisar o projeto da junta flangeada porque a força calculada nos parafusos é menor do que a força mínima requerida pelo APPENDIX 2 ASME VIII Division 1")</f>
        <v>Ok, a força a ser adotada é maior do que a força mínima requerida pelo APPENDIX 2 ASME VIII Division 1, nas condições de projeto</v>
      </c>
      <c r="E61" s="214"/>
      <c r="F61" s="214"/>
      <c r="G61" s="214"/>
      <c r="H61" s="214"/>
      <c r="I61" s="215"/>
      <c r="J61" s="41"/>
    </row>
    <row r="62" spans="1:10" ht="25.5" customHeight="1">
      <c r="A62" s="172" t="s">
        <v>134</v>
      </c>
      <c r="B62" s="173"/>
      <c r="C62" s="173"/>
      <c r="D62" s="173"/>
      <c r="E62" s="173"/>
      <c r="F62" s="173"/>
      <c r="G62" s="173"/>
      <c r="H62" s="173"/>
      <c r="I62" s="174"/>
      <c r="J62" s="41"/>
    </row>
    <row r="63" spans="1:9" ht="12.75">
      <c r="A63" s="44" t="s">
        <v>5</v>
      </c>
      <c r="B63" s="66">
        <v>0.875</v>
      </c>
      <c r="C63" s="46" t="s">
        <v>41</v>
      </c>
      <c r="D63" s="50" t="s">
        <v>70</v>
      </c>
      <c r="E63" s="51"/>
      <c r="F63" s="51"/>
      <c r="G63" s="51"/>
      <c r="H63" s="51"/>
      <c r="I63" s="52"/>
    </row>
    <row r="64" spans="1:9" ht="21.75" customHeight="1">
      <c r="A64" s="44" t="s">
        <v>8</v>
      </c>
      <c r="B64" s="53">
        <v>0.12</v>
      </c>
      <c r="C64" s="46" t="s">
        <v>69</v>
      </c>
      <c r="D64" s="177" t="s">
        <v>79</v>
      </c>
      <c r="E64" s="178"/>
      <c r="F64" s="178"/>
      <c r="G64" s="178"/>
      <c r="H64" s="178"/>
      <c r="I64" s="179"/>
    </row>
    <row r="65" spans="1:9" ht="23.25" customHeight="1">
      <c r="A65" s="44" t="s">
        <v>10</v>
      </c>
      <c r="B65" s="53">
        <v>0.12</v>
      </c>
      <c r="C65" s="46" t="s">
        <v>69</v>
      </c>
      <c r="D65" s="177" t="s">
        <v>78</v>
      </c>
      <c r="E65" s="178"/>
      <c r="F65" s="178"/>
      <c r="G65" s="178"/>
      <c r="H65" s="178"/>
      <c r="I65" s="179"/>
    </row>
    <row r="66" spans="1:9" ht="22.5" customHeight="1">
      <c r="A66" s="44" t="s">
        <v>9</v>
      </c>
      <c r="B66" s="53">
        <v>0.8028</v>
      </c>
      <c r="C66" s="46" t="s">
        <v>41</v>
      </c>
      <c r="D66" s="177" t="s">
        <v>81</v>
      </c>
      <c r="E66" s="178"/>
      <c r="F66" s="178"/>
      <c r="G66" s="178"/>
      <c r="H66" s="178"/>
      <c r="I66" s="179"/>
    </row>
    <row r="67" spans="1:9" ht="12.75">
      <c r="A67" s="44" t="s">
        <v>11</v>
      </c>
      <c r="B67" s="53">
        <v>30</v>
      </c>
      <c r="C67" s="46" t="s">
        <v>45</v>
      </c>
      <c r="D67" s="180" t="s">
        <v>71</v>
      </c>
      <c r="E67" s="181"/>
      <c r="F67" s="181"/>
      <c r="G67" s="181"/>
      <c r="H67" s="181"/>
      <c r="I67" s="182"/>
    </row>
    <row r="68" spans="1:9" ht="12.75">
      <c r="A68" s="44" t="s">
        <v>11</v>
      </c>
      <c r="B68" s="67">
        <f>(B67/360)*PI()</f>
        <v>0.2617993877991494</v>
      </c>
      <c r="C68" s="46" t="s">
        <v>47</v>
      </c>
      <c r="D68" s="180" t="s">
        <v>72</v>
      </c>
      <c r="E68" s="181"/>
      <c r="F68" s="181"/>
      <c r="G68" s="181"/>
      <c r="H68" s="181"/>
      <c r="I68" s="182"/>
    </row>
    <row r="69" spans="1:9" ht="12.75">
      <c r="A69" s="44"/>
      <c r="B69" s="53">
        <v>9</v>
      </c>
      <c r="C69" s="46" t="s">
        <v>46</v>
      </c>
      <c r="D69" s="180" t="s">
        <v>80</v>
      </c>
      <c r="E69" s="181"/>
      <c r="F69" s="181"/>
      <c r="G69" s="181"/>
      <c r="H69" s="181"/>
      <c r="I69" s="182"/>
    </row>
    <row r="70" spans="1:9" ht="12.75">
      <c r="A70" s="44"/>
      <c r="B70" s="77">
        <v>1.437</v>
      </c>
      <c r="C70" s="46" t="s">
        <v>41</v>
      </c>
      <c r="D70" s="180" t="s">
        <v>73</v>
      </c>
      <c r="E70" s="181"/>
      <c r="F70" s="181"/>
      <c r="G70" s="181"/>
      <c r="H70" s="181"/>
      <c r="I70" s="182"/>
    </row>
    <row r="71" spans="1:9" ht="12.75">
      <c r="A71" s="44" t="s">
        <v>13</v>
      </c>
      <c r="B71" s="67">
        <f>1/B69</f>
        <v>0.1111111111111111</v>
      </c>
      <c r="C71" s="46" t="s">
        <v>41</v>
      </c>
      <c r="D71" s="180" t="s">
        <v>82</v>
      </c>
      <c r="E71" s="181"/>
      <c r="F71" s="181"/>
      <c r="G71" s="181"/>
      <c r="H71" s="181"/>
      <c r="I71" s="182"/>
    </row>
    <row r="72" spans="1:9" ht="21.75" customHeight="1">
      <c r="A72" s="44" t="s">
        <v>7</v>
      </c>
      <c r="B72" s="78">
        <f>(B70+B63)/2</f>
        <v>1.1560000000000001</v>
      </c>
      <c r="C72" s="46" t="s">
        <v>41</v>
      </c>
      <c r="D72" s="218" t="s">
        <v>83</v>
      </c>
      <c r="E72" s="219"/>
      <c r="F72" s="219"/>
      <c r="G72" s="219"/>
      <c r="H72" s="219"/>
      <c r="I72" s="220"/>
    </row>
    <row r="73" spans="1:9" ht="12.75">
      <c r="A73" s="44" t="s">
        <v>12</v>
      </c>
      <c r="B73" s="67">
        <f>ATAN(B71/(PI()*B66))</f>
        <v>0.044027042994095475</v>
      </c>
      <c r="C73" s="46" t="s">
        <v>47</v>
      </c>
      <c r="D73" s="180" t="s">
        <v>74</v>
      </c>
      <c r="E73" s="181"/>
      <c r="F73" s="181"/>
      <c r="G73" s="181"/>
      <c r="H73" s="181"/>
      <c r="I73" s="182"/>
    </row>
    <row r="74" spans="1:9" ht="13.5" thickBot="1">
      <c r="A74" s="69" t="s">
        <v>6</v>
      </c>
      <c r="B74" s="79">
        <f>(D59/2)*((B72*B64)+B66*((B65+(COS(B68)*TAN(B73)))/(COS(B68)-(B65*TAN(B73)))))/12</f>
        <v>251.7766876824327</v>
      </c>
      <c r="C74" s="70" t="s">
        <v>48</v>
      </c>
      <c r="D74" s="221" t="s">
        <v>146</v>
      </c>
      <c r="E74" s="222"/>
      <c r="F74" s="222"/>
      <c r="G74" s="222"/>
      <c r="H74" s="222"/>
      <c r="I74" s="223"/>
    </row>
  </sheetData>
  <sheetProtection/>
  <mergeCells count="80">
    <mergeCell ref="D74:I74"/>
    <mergeCell ref="A62:I62"/>
    <mergeCell ref="D69:I69"/>
    <mergeCell ref="D70:I70"/>
    <mergeCell ref="D71:I71"/>
    <mergeCell ref="D66:I66"/>
    <mergeCell ref="D67:I67"/>
    <mergeCell ref="D68:I68"/>
    <mergeCell ref="A59:C59"/>
    <mergeCell ref="E59:I59"/>
    <mergeCell ref="A60:I60"/>
    <mergeCell ref="A61:C61"/>
    <mergeCell ref="D72:I72"/>
    <mergeCell ref="D73:I73"/>
    <mergeCell ref="D65:I65"/>
    <mergeCell ref="D64:I64"/>
    <mergeCell ref="D61:I61"/>
    <mergeCell ref="D50:I50"/>
    <mergeCell ref="A52:I52"/>
    <mergeCell ref="D55:I55"/>
    <mergeCell ref="D56:I56"/>
    <mergeCell ref="A57:I57"/>
    <mergeCell ref="A58:C58"/>
    <mergeCell ref="D58:I58"/>
    <mergeCell ref="A53:C53"/>
    <mergeCell ref="D53:I53"/>
    <mergeCell ref="A54:I54"/>
    <mergeCell ref="D46:I46"/>
    <mergeCell ref="A47:I47"/>
    <mergeCell ref="A48:C48"/>
    <mergeCell ref="A49:I49"/>
    <mergeCell ref="D48:I48"/>
    <mergeCell ref="D21:I21"/>
    <mergeCell ref="D30:I30"/>
    <mergeCell ref="D31:I31"/>
    <mergeCell ref="D26:I26"/>
    <mergeCell ref="D24:I24"/>
    <mergeCell ref="A20:I20"/>
    <mergeCell ref="D22:I22"/>
    <mergeCell ref="D51:I51"/>
    <mergeCell ref="A23:I23"/>
    <mergeCell ref="D34:I34"/>
    <mergeCell ref="D36:I36"/>
    <mergeCell ref="A37:I37"/>
    <mergeCell ref="D38:I38"/>
    <mergeCell ref="D33:I33"/>
    <mergeCell ref="D32:I32"/>
    <mergeCell ref="D25:I25"/>
    <mergeCell ref="D29:I29"/>
    <mergeCell ref="D28:I28"/>
    <mergeCell ref="C5:I5"/>
    <mergeCell ref="A6:B6"/>
    <mergeCell ref="C6:I6"/>
    <mergeCell ref="D17:I17"/>
    <mergeCell ref="D14:I14"/>
    <mergeCell ref="D15:I15"/>
    <mergeCell ref="D16:I16"/>
    <mergeCell ref="A5:B5"/>
    <mergeCell ref="A7:B7"/>
    <mergeCell ref="C7:I7"/>
    <mergeCell ref="H1:I1"/>
    <mergeCell ref="H2:I2"/>
    <mergeCell ref="A3:I3"/>
    <mergeCell ref="A4:I4"/>
    <mergeCell ref="A1:G1"/>
    <mergeCell ref="A2:G2"/>
    <mergeCell ref="A8:I8"/>
    <mergeCell ref="D19:I19"/>
    <mergeCell ref="D11:I11"/>
    <mergeCell ref="D12:I12"/>
    <mergeCell ref="D13:I13"/>
    <mergeCell ref="D18:I18"/>
    <mergeCell ref="D39:I39"/>
    <mergeCell ref="D44:I44"/>
    <mergeCell ref="D45:I45"/>
    <mergeCell ref="D40:I40"/>
    <mergeCell ref="D42:I42"/>
    <mergeCell ref="A43:I43"/>
    <mergeCell ref="A41:I41"/>
    <mergeCell ref="A42:C42"/>
  </mergeCells>
  <printOptions/>
  <pageMargins left="0.94" right="0.787401575" top="0.52" bottom="0.52" header="0.492125985" footer="0.492125985"/>
  <pageSetup horizontalDpi="300" verticalDpi="300" orientation="portrait" r:id="rId1"/>
  <headerFooter alignWithMargins="0">
    <oddHeader>&amp;R&amp;P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Patty</cp:lastModifiedBy>
  <cp:lastPrinted>2005-05-23T19:30:04Z</cp:lastPrinted>
  <dcterms:created xsi:type="dcterms:W3CDTF">2005-01-13T19:18:55Z</dcterms:created>
  <dcterms:modified xsi:type="dcterms:W3CDTF">2017-09-21T22:51:02Z</dcterms:modified>
  <cp:category/>
  <cp:version/>
  <cp:contentType/>
  <cp:contentStatus/>
</cp:coreProperties>
</file>