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90" windowWidth="11355" windowHeight="8700" activeTab="0"/>
  </bookViews>
  <sheets>
    <sheet name="COMPONENTES" sheetId="1" r:id="rId1"/>
    <sheet name="BOCAIS 1" sheetId="2" r:id="rId2"/>
    <sheet name="BOCAIS 2" sheetId="3" r:id="rId3"/>
    <sheet name="BANCO DE DADOS" sheetId="4" r:id="rId4"/>
  </sheets>
  <definedNames>
    <definedName name="_xlnm.Print_Area" localSheetId="1">'BOCAIS 1'!$A$1:$J$56</definedName>
    <definedName name="_xlnm.Print_Area" localSheetId="2">'BOCAIS 2'!$A$1:$J$54</definedName>
    <definedName name="_xlnm.Print_Area" localSheetId="0">'COMPONENTES'!$A$1:$I$253</definedName>
  </definedNames>
  <calcPr fullCalcOnLoad="1"/>
</workbook>
</file>

<file path=xl/sharedStrings.xml><?xml version="1.0" encoding="utf-8"?>
<sst xmlns="http://schemas.openxmlformats.org/spreadsheetml/2006/main" count="565" uniqueCount="443">
  <si>
    <t>CASCO</t>
  </si>
  <si>
    <t>Tampo superior</t>
  </si>
  <si>
    <t>Tampo Inferior</t>
  </si>
  <si>
    <t>TAMPO SUP NF</t>
  </si>
  <si>
    <t>TAMPO SUP CQ</t>
  </si>
  <si>
    <t>TAMPO INF NF</t>
  </si>
  <si>
    <t>TAMPO INF CQ</t>
  </si>
  <si>
    <t>CASCO     NF</t>
  </si>
  <si>
    <t>CASCO    CQ</t>
  </si>
  <si>
    <t>t comercial</t>
  </si>
  <si>
    <t>PMA (kgf/cm²)</t>
  </si>
  <si>
    <t xml:space="preserve">TAMPO SUP </t>
  </si>
  <si>
    <t>TAMPO INF</t>
  </si>
  <si>
    <t>PMA CQ</t>
  </si>
  <si>
    <t>1,3 x PMA NF</t>
  </si>
  <si>
    <r>
      <t>P</t>
    </r>
    <r>
      <rPr>
        <sz val="8"/>
        <rFont val="Arial"/>
        <family val="0"/>
      </rPr>
      <t xml:space="preserve">TP </t>
    </r>
    <r>
      <rPr>
        <sz val="10"/>
        <rFont val="Arial"/>
        <family val="0"/>
      </rPr>
      <t>(kgf/cm²)</t>
    </r>
  </si>
  <si>
    <t>kgf/cm²</t>
  </si>
  <si>
    <t>TENSÃO RESULT.</t>
  </si>
  <si>
    <t>TN</t>
  </si>
  <si>
    <t>TC</t>
  </si>
  <si>
    <t>Flanges - Classe de Pressão</t>
  </si>
  <si>
    <t xml:space="preserve">Flanges - Material Grupo </t>
  </si>
  <si>
    <t>1.1</t>
  </si>
  <si>
    <t>300#</t>
  </si>
  <si>
    <t>FLANGES</t>
  </si>
  <si>
    <t>CLASSE</t>
  </si>
  <si>
    <t>MATERIAL GRUPO</t>
  </si>
  <si>
    <t>ARRENDONDAMENTO P/ CIMA MULTIPLO DE 25 PSI</t>
  </si>
  <si>
    <t>BAR</t>
  </si>
  <si>
    <t>PSI</t>
  </si>
  <si>
    <t>CILINDRO</t>
  </si>
  <si>
    <t>TAMPO INFERIOR</t>
  </si>
  <si>
    <t>TAMPO SUPERIOR</t>
  </si>
  <si>
    <t>VOLUME (m³)</t>
  </si>
  <si>
    <t>TOTAL</t>
  </si>
  <si>
    <t>1" SCH 80</t>
  </si>
  <si>
    <t>1" SCH 160</t>
  </si>
  <si>
    <t>1" SCH XXS</t>
  </si>
  <si>
    <t>1 1/2" SCH 80</t>
  </si>
  <si>
    <t>1 1/2" SCH 160</t>
  </si>
  <si>
    <t>1 1/2" SCH XXS</t>
  </si>
  <si>
    <t>2" SCH 80</t>
  </si>
  <si>
    <t>2" SCH 160</t>
  </si>
  <si>
    <t>2" SCH XXS</t>
  </si>
  <si>
    <t>3" SCH 80</t>
  </si>
  <si>
    <t>3" SCH 160</t>
  </si>
  <si>
    <t>3" SCH XXS</t>
  </si>
  <si>
    <t>4" SCH 80</t>
  </si>
  <si>
    <t>4" SCH 120</t>
  </si>
  <si>
    <t>4" SCH 160</t>
  </si>
  <si>
    <t>4" SCH XXS</t>
  </si>
  <si>
    <t>6" SCH 80</t>
  </si>
  <si>
    <t>6" SCH 120</t>
  </si>
  <si>
    <t>6" SCH 160</t>
  </si>
  <si>
    <t>6" SCH XXS</t>
  </si>
  <si>
    <t>8" SCH 60</t>
  </si>
  <si>
    <t>8" SCH 80</t>
  </si>
  <si>
    <t>8" SCH 100</t>
  </si>
  <si>
    <t>8" SCH 120</t>
  </si>
  <si>
    <t>8" SCH 140</t>
  </si>
  <si>
    <t>8" SCH 160</t>
  </si>
  <si>
    <t>8" SCH XXS</t>
  </si>
  <si>
    <t>10" SCH 60</t>
  </si>
  <si>
    <t>10" SCH 80</t>
  </si>
  <si>
    <t>10" SCH 100</t>
  </si>
  <si>
    <t>10" SCH 120</t>
  </si>
  <si>
    <t>10" SCH 140</t>
  </si>
  <si>
    <t>10" SCH 160</t>
  </si>
  <si>
    <t>10" SCH XXS</t>
  </si>
  <si>
    <t>12" SCH 20</t>
  </si>
  <si>
    <t>12" SCH 30</t>
  </si>
  <si>
    <t>12" SCH STD</t>
  </si>
  <si>
    <t>12" SCH 40</t>
  </si>
  <si>
    <t>12" SCH 60</t>
  </si>
  <si>
    <t>12" SCH XS</t>
  </si>
  <si>
    <t>12" SCH 80</t>
  </si>
  <si>
    <t>12" SCH 100</t>
  </si>
  <si>
    <t>12" SCH 120</t>
  </si>
  <si>
    <t>12" SCH 140</t>
  </si>
  <si>
    <t>12" SCH 160</t>
  </si>
  <si>
    <t>12" SCH XXS</t>
  </si>
  <si>
    <t>14" SCH 10</t>
  </si>
  <si>
    <t>14" SCH 20</t>
  </si>
  <si>
    <t>14" SCH 30</t>
  </si>
  <si>
    <t>14" SCH STD</t>
  </si>
  <si>
    <t>14" SCH 40</t>
  </si>
  <si>
    <t>14" SCH 60</t>
  </si>
  <si>
    <t>14" SCH XS</t>
  </si>
  <si>
    <t>14" SCH 80</t>
  </si>
  <si>
    <t>14" SCH 100</t>
  </si>
  <si>
    <t>14" SCH 120</t>
  </si>
  <si>
    <t>14" SCH 140</t>
  </si>
  <si>
    <t>14" SCH 160</t>
  </si>
  <si>
    <t>16" SCH 10</t>
  </si>
  <si>
    <t>16" SCH 20</t>
  </si>
  <si>
    <t>16" SCH 30</t>
  </si>
  <si>
    <t>16" SCH STD</t>
  </si>
  <si>
    <t>16" SCH 40</t>
  </si>
  <si>
    <t>16" SCH 60</t>
  </si>
  <si>
    <t>16" SCH XS</t>
  </si>
  <si>
    <t>16" SCH 80</t>
  </si>
  <si>
    <t>16" SCH 100</t>
  </si>
  <si>
    <t>16" SCH 120</t>
  </si>
  <si>
    <t>16" SCH 140</t>
  </si>
  <si>
    <t>16" SCH 160</t>
  </si>
  <si>
    <t>18" SCH 10</t>
  </si>
  <si>
    <t>18" SCH 20</t>
  </si>
  <si>
    <t>18" SCH 30</t>
  </si>
  <si>
    <t>18" SCH STD</t>
  </si>
  <si>
    <t>18" SCH 40</t>
  </si>
  <si>
    <t>18" SCH 60</t>
  </si>
  <si>
    <t>18" SCH XS</t>
  </si>
  <si>
    <t>18" SCH 80</t>
  </si>
  <si>
    <t>18" SCH 100</t>
  </si>
  <si>
    <t>18" SCH 120</t>
  </si>
  <si>
    <t>18" SCH 140</t>
  </si>
  <si>
    <t>18" SCH 160</t>
  </si>
  <si>
    <t>20" SCH 10</t>
  </si>
  <si>
    <t>20" SCH 20</t>
  </si>
  <si>
    <t>20" SCH 30</t>
  </si>
  <si>
    <t>20" SCH STD</t>
  </si>
  <si>
    <t>20" SCH 40</t>
  </si>
  <si>
    <t>20" SCH 60</t>
  </si>
  <si>
    <t>20" SCH XS</t>
  </si>
  <si>
    <t>20" SCH 80</t>
  </si>
  <si>
    <t>20" SCH 100</t>
  </si>
  <si>
    <t>20" SCH 120</t>
  </si>
  <si>
    <t>20" SCH 140</t>
  </si>
  <si>
    <t>20" SCH 160</t>
  </si>
  <si>
    <t>22" SCH 10</t>
  </si>
  <si>
    <t>22" SCH 20</t>
  </si>
  <si>
    <t>22" SCH 30</t>
  </si>
  <si>
    <t>22" SCH STD</t>
  </si>
  <si>
    <t>22" SCH 60</t>
  </si>
  <si>
    <t>22" SCH XS</t>
  </si>
  <si>
    <t>22" SCH 80</t>
  </si>
  <si>
    <t>22" SCH 100</t>
  </si>
  <si>
    <t>22" SCH 120</t>
  </si>
  <si>
    <t>22" SCH 140</t>
  </si>
  <si>
    <t>22" SCH 160</t>
  </si>
  <si>
    <t>24" SCH 10</t>
  </si>
  <si>
    <t>24" SCH 20</t>
  </si>
  <si>
    <t>24" SCH 30</t>
  </si>
  <si>
    <t>24" SCH STD</t>
  </si>
  <si>
    <t>24" SCH 40</t>
  </si>
  <si>
    <t>24" SCH 60</t>
  </si>
  <si>
    <t>24" SCH XS</t>
  </si>
  <si>
    <t>24" SCH 80</t>
  </si>
  <si>
    <t>24" SCH 100</t>
  </si>
  <si>
    <t>24" SCH 120</t>
  </si>
  <si>
    <t>24" SCH 140</t>
  </si>
  <si>
    <t>24" SCH 160</t>
  </si>
  <si>
    <t>30" SCH 10</t>
  </si>
  <si>
    <t>30" SCH 20</t>
  </si>
  <si>
    <t>30" SCH 30</t>
  </si>
  <si>
    <t>30" SCH STD</t>
  </si>
  <si>
    <t>30" SCH XS</t>
  </si>
  <si>
    <t>TUBO</t>
  </si>
  <si>
    <t>T</t>
  </si>
  <si>
    <t>Dext</t>
  </si>
  <si>
    <t>Identificação</t>
  </si>
  <si>
    <t>Dext (mm)</t>
  </si>
  <si>
    <t>Espessura (SCH) (mm)</t>
  </si>
  <si>
    <t>TAMPO SUP</t>
  </si>
  <si>
    <t>Material</t>
  </si>
  <si>
    <r>
      <t>S</t>
    </r>
    <r>
      <rPr>
        <sz val="8"/>
        <rFont val="Arial"/>
        <family val="2"/>
      </rPr>
      <t>n - Tensão Admissível na temp de projeto</t>
    </r>
  </si>
  <si>
    <t>Local de instalação do bocal</t>
  </si>
  <si>
    <t>Verificação da espessura mínima do bocal pela UG-45</t>
  </si>
  <si>
    <t>std</t>
  </si>
  <si>
    <t>10" SCH 40 std</t>
  </si>
  <si>
    <t>8" SCH 40 std</t>
  </si>
  <si>
    <t>3" SCH 40 std</t>
  </si>
  <si>
    <t>4" SCH 40 std</t>
  </si>
  <si>
    <t>6" SCH 40 std</t>
  </si>
  <si>
    <r>
      <t xml:space="preserve">A mín espessura do bocal  será o </t>
    </r>
    <r>
      <rPr>
        <b/>
        <sz val="10"/>
        <rFont val="Arial"/>
        <family val="2"/>
      </rPr>
      <t>maior</t>
    </r>
    <r>
      <rPr>
        <sz val="10"/>
        <rFont val="Arial"/>
        <family val="0"/>
      </rPr>
      <t xml:space="preserve"> valor entre:                                                                     UG-45(a) e o </t>
    </r>
    <r>
      <rPr>
        <b/>
        <sz val="10"/>
        <rFont val="Arial"/>
        <family val="2"/>
      </rPr>
      <t>menor</t>
    </r>
    <r>
      <rPr>
        <sz val="10"/>
        <rFont val="Arial"/>
        <family val="0"/>
      </rPr>
      <t xml:space="preserve"> valor entre UG-45(b1) e UG-45(b4)</t>
    </r>
  </si>
  <si>
    <t>SCH x 0,875 (tolerância de fabricação)</t>
  </si>
  <si>
    <t>E131</t>
  </si>
  <si>
    <t>E132</t>
  </si>
  <si>
    <t>E133</t>
  </si>
  <si>
    <t>E134</t>
  </si>
  <si>
    <t>E135</t>
  </si>
  <si>
    <t>E136</t>
  </si>
  <si>
    <t>REFORÇO DO BOCAL</t>
  </si>
  <si>
    <t>t  espessura do componente comercial - corrosão</t>
  </si>
  <si>
    <t>tn espessura do bocal escolhido - corrosão</t>
  </si>
  <si>
    <t>Limite paralelo a parede do vaso maior entre:       d=2Rn ou Rn+tn+t (mm)</t>
  </si>
  <si>
    <t>Limite vertical a parede do vaso menor entre:        2,5t ou 2,5tn+te</t>
  </si>
  <si>
    <t>te espessura da chapa de reforço</t>
  </si>
  <si>
    <t>Diâmetro ext do reforço</t>
  </si>
  <si>
    <t>Sv Tensão admissível do componente</t>
  </si>
  <si>
    <t>Sr Tensão admissível do reforço</t>
  </si>
  <si>
    <t>fr1 = fr2 = Sn/Sv</t>
  </si>
  <si>
    <t>fr3 = menor valor entre Sn/Sv e Sr/Sv</t>
  </si>
  <si>
    <t>fr4 = Sr/Sv</t>
  </si>
  <si>
    <t>h Projeção do bocal para o interior</t>
  </si>
  <si>
    <t>A3 = 2(tn-C)fr1.h</t>
  </si>
  <si>
    <t>A41 = leg² . fr2</t>
  </si>
  <si>
    <t>A43 = leg² . fr2</t>
  </si>
  <si>
    <t>leg (altura solda)</t>
  </si>
  <si>
    <t>Área de reforço disponível (mm²)                               A1+A2+A3+A41+A43</t>
  </si>
  <si>
    <t>A1</t>
  </si>
  <si>
    <t>A41 = leg² . fr3</t>
  </si>
  <si>
    <t>A42 = leg² . fr4</t>
  </si>
  <si>
    <t>Área de reforço disponível (mm²)                               A1+A2+A3+A41+A42+A43+A5</t>
  </si>
  <si>
    <t>Avaliação da Área de Reforço Disponível            se : A&lt;A1+A2+A3+A41+A43 --&gt;   OK!                      Caso contrário calcular Anel de Reforço</t>
  </si>
  <si>
    <t xml:space="preserve">O diâmetro do reforço escolhido deverá ser ≤ do que 2 x limite paralelo </t>
  </si>
  <si>
    <t>lista de espessuras padrões</t>
  </si>
  <si>
    <t>CASCO*</t>
  </si>
  <si>
    <t>*Maior valor entre as fórmulas de cálculo de espessura devido a tensão longitudinal e tensão circunferencial</t>
  </si>
  <si>
    <t>PMTA DO EQUIP CQ</t>
  </si>
  <si>
    <t>NA</t>
  </si>
  <si>
    <t>ASME 16.5</t>
  </si>
  <si>
    <t>FLANGES Q</t>
  </si>
  <si>
    <t>LIMITADO POR</t>
  </si>
  <si>
    <t>PTA/TN</t>
  </si>
  <si>
    <t>PTP/TC</t>
  </si>
  <si>
    <t>1) IDENTIFICAÇÃO DO EQUIPAMENTO</t>
  </si>
  <si>
    <t>SERVIÇO:</t>
  </si>
  <si>
    <t>TAG:</t>
  </si>
  <si>
    <t>DATA:</t>
  </si>
  <si>
    <t>UNIDADE:</t>
  </si>
  <si>
    <t>Nº DESENHO:</t>
  </si>
  <si>
    <t>A espessura(SCH) escolhida (CÉLULA E6) atenderá se for maior do que o valor acima (CÉLULA E17)</t>
  </si>
  <si>
    <t>PRESSÃO DE TESTE HIDROST CQ</t>
  </si>
  <si>
    <t>PRESSÃO DE TESTE HIDROST NF</t>
  </si>
  <si>
    <t>LIMITADA:</t>
  </si>
  <si>
    <t xml:space="preserve">Eficiência de Junta  </t>
  </si>
  <si>
    <t xml:space="preserve">Densidade do Fluido </t>
  </si>
  <si>
    <t>Comprimento entre tangentes</t>
  </si>
  <si>
    <t>2) DADOS INICIAIS DE ENTRADA</t>
  </si>
  <si>
    <t>3) CALCULO DA ESPESSURA MÍNIMA REQUERIDA</t>
  </si>
  <si>
    <r>
      <t xml:space="preserve">3.1) CÁLCULO  </t>
    </r>
    <r>
      <rPr>
        <b/>
        <sz val="10"/>
        <rFont val="Symbol"/>
        <family val="1"/>
      </rPr>
      <t>D</t>
    </r>
    <r>
      <rPr>
        <b/>
        <sz val="10"/>
        <rFont val="Arial"/>
        <family val="0"/>
      </rPr>
      <t xml:space="preserve">P = </t>
    </r>
    <r>
      <rPr>
        <b/>
        <sz val="10"/>
        <rFont val="Symbol"/>
        <family val="1"/>
      </rPr>
      <t>r</t>
    </r>
    <r>
      <rPr>
        <b/>
        <sz val="10"/>
        <rFont val="Arial"/>
        <family val="0"/>
      </rPr>
      <t>h/10</t>
    </r>
  </si>
  <si>
    <t>3.2) CÁLCULO DAS ESPESSURAS MÍNIMAS(mm)</t>
  </si>
  <si>
    <t>4) CÁLCULO DAS PRESSÕES MAXIMAS (kgf/cm²)</t>
  </si>
  <si>
    <t>5) CÁLCULO DA PMTA DO EQUIPAMENTO (CQ)</t>
  </si>
  <si>
    <r>
      <t>6) CALCULO DA PRESSÃO DE TESTE HIDROSTÁTICO P</t>
    </r>
    <r>
      <rPr>
        <b/>
        <sz val="8"/>
        <rFont val="Arial"/>
        <family val="2"/>
      </rPr>
      <t>TH</t>
    </r>
  </si>
  <si>
    <r>
      <t>6.2) PRESSÃO DE TESTE ALTERNATIVO P</t>
    </r>
    <r>
      <rPr>
        <b/>
        <sz val="8"/>
        <rFont val="Arial"/>
        <family val="2"/>
      </rPr>
      <t>TA</t>
    </r>
  </si>
  <si>
    <r>
      <t>6.2.1)  NO CASO DE P</t>
    </r>
    <r>
      <rPr>
        <b/>
        <sz val="8"/>
        <rFont val="Arial"/>
        <family val="2"/>
      </rPr>
      <t>TH</t>
    </r>
    <r>
      <rPr>
        <b/>
        <sz val="10"/>
        <rFont val="Arial"/>
        <family val="2"/>
      </rPr>
      <t xml:space="preserve"> = P</t>
    </r>
    <r>
      <rPr>
        <b/>
        <sz val="8"/>
        <rFont val="Arial"/>
        <family val="2"/>
      </rPr>
      <t>TA</t>
    </r>
  </si>
  <si>
    <t xml:space="preserve">6.2.1.1) VERIFICAÇÃO DA TENSÃO RESULTANTE </t>
  </si>
  <si>
    <r>
      <t>6.2.1.2) COMPARAÇÃO ENTRE  P</t>
    </r>
    <r>
      <rPr>
        <b/>
        <sz val="8"/>
        <rFont val="Arial"/>
        <family val="2"/>
      </rPr>
      <t>TA</t>
    </r>
    <r>
      <rPr>
        <b/>
        <sz val="10"/>
        <rFont val="Arial"/>
        <family val="2"/>
      </rPr>
      <t>/T</t>
    </r>
    <r>
      <rPr>
        <b/>
        <sz val="8"/>
        <rFont val="Arial"/>
        <family val="2"/>
      </rPr>
      <t>N</t>
    </r>
    <r>
      <rPr>
        <b/>
        <sz val="10"/>
        <rFont val="Arial"/>
        <family val="2"/>
      </rPr>
      <t xml:space="preserve">  E  P</t>
    </r>
    <r>
      <rPr>
        <b/>
        <sz val="8"/>
        <rFont val="Arial"/>
        <family val="2"/>
      </rPr>
      <t>TP</t>
    </r>
    <r>
      <rPr>
        <b/>
        <sz val="10"/>
        <rFont val="Arial"/>
        <family val="2"/>
      </rPr>
      <t>/T</t>
    </r>
    <r>
      <rPr>
        <b/>
        <sz val="8"/>
        <rFont val="Arial"/>
        <family val="2"/>
      </rPr>
      <t>C</t>
    </r>
  </si>
  <si>
    <t>6.3) VERIFICAÇÃO FLANGES</t>
  </si>
  <si>
    <t>6.4) RESUMO DAS PRESSÕES DE TESTE</t>
  </si>
  <si>
    <t>7) CÁLCULO DO PESO</t>
  </si>
  <si>
    <r>
      <t xml:space="preserve">*No caso dos </t>
    </r>
    <r>
      <rPr>
        <b/>
        <sz val="10"/>
        <color indexed="10"/>
        <rFont val="Arial"/>
        <family val="2"/>
      </rPr>
      <t>FLANGES</t>
    </r>
    <r>
      <rPr>
        <b/>
        <sz val="10"/>
        <rFont val="Arial"/>
        <family val="2"/>
      </rPr>
      <t xml:space="preserve"> serem o limitante, a P</t>
    </r>
    <r>
      <rPr>
        <b/>
        <sz val="8"/>
        <rFont val="Arial"/>
        <family val="2"/>
      </rPr>
      <t>TP</t>
    </r>
    <r>
      <rPr>
        <b/>
        <sz val="10"/>
        <rFont val="Arial"/>
        <family val="2"/>
      </rPr>
      <t xml:space="preserve"> será igual a 1,5 x PMA(na temp de projeto) e não será necessário cálculo da P</t>
    </r>
    <r>
      <rPr>
        <b/>
        <sz val="8"/>
        <rFont val="Arial"/>
        <family val="2"/>
      </rPr>
      <t>TA</t>
    </r>
  </si>
  <si>
    <r>
      <t>SE</t>
    </r>
    <r>
      <rPr>
        <b/>
        <sz val="10"/>
        <rFont val="Arial"/>
        <family val="2"/>
      </rPr>
      <t xml:space="preserve"> PARA UM DOS COMPONENTES </t>
    </r>
    <r>
      <rPr>
        <b/>
        <sz val="10"/>
        <color indexed="10"/>
        <rFont val="Arial"/>
        <family val="2"/>
      </rPr>
      <t xml:space="preserve"> 0,8Sy &lt; TENSÃO RESULT.</t>
    </r>
    <r>
      <rPr>
        <b/>
        <sz val="10"/>
        <rFont val="Arial"/>
        <family val="2"/>
      </rPr>
      <t xml:space="preserve"> ADOTAR </t>
    </r>
    <r>
      <rPr>
        <b/>
        <sz val="10"/>
        <color indexed="10"/>
        <rFont val="Arial"/>
        <family val="2"/>
      </rPr>
      <t>TENSÃO RESULT = 0,8Sy</t>
    </r>
    <r>
      <rPr>
        <b/>
        <sz val="10"/>
        <rFont val="Arial"/>
        <family val="2"/>
      </rPr>
      <t xml:space="preserve"> E CALCULAR NOVA PRESSÃO DE TESTE (ABAIXO)       </t>
    </r>
  </si>
  <si>
    <r>
      <t xml:space="preserve">CASO  </t>
    </r>
    <r>
      <rPr>
        <b/>
        <sz val="10"/>
        <color indexed="10"/>
        <rFont val="Arial"/>
        <family val="2"/>
      </rPr>
      <t>TENSÃO RESULTANTE &gt; 0,8 S</t>
    </r>
    <r>
      <rPr>
        <b/>
        <sz val="8"/>
        <color indexed="10"/>
        <rFont val="Arial"/>
        <family val="2"/>
      </rPr>
      <t>Y</t>
    </r>
    <r>
      <rPr>
        <b/>
        <sz val="10"/>
        <rFont val="Arial"/>
        <family val="2"/>
      </rPr>
      <t xml:space="preserve"> , A </t>
    </r>
    <r>
      <rPr>
        <b/>
        <sz val="10"/>
        <color indexed="10"/>
        <rFont val="Arial"/>
        <family val="2"/>
      </rPr>
      <t>PRESSÃO DE TESTE</t>
    </r>
    <r>
      <rPr>
        <b/>
        <sz val="10"/>
        <rFont val="Arial"/>
        <family val="2"/>
      </rPr>
      <t xml:space="preserve"> DEVERÁ SER </t>
    </r>
    <r>
      <rPr>
        <b/>
        <sz val="10"/>
        <color indexed="10"/>
        <rFont val="Arial"/>
        <family val="2"/>
      </rPr>
      <t>LIMITADA A 0,8 S</t>
    </r>
    <r>
      <rPr>
        <b/>
        <sz val="8"/>
        <color indexed="10"/>
        <rFont val="Arial"/>
        <family val="2"/>
      </rPr>
      <t>Y</t>
    </r>
    <r>
      <rPr>
        <b/>
        <sz val="10"/>
        <rFont val="Arial"/>
        <family val="2"/>
      </rPr>
      <t xml:space="preserve"> DESDE QUE </t>
    </r>
    <r>
      <rPr>
        <b/>
        <sz val="10"/>
        <color indexed="10"/>
        <rFont val="Arial"/>
        <family val="2"/>
      </rPr>
      <t>P</t>
    </r>
    <r>
      <rPr>
        <b/>
        <sz val="8"/>
        <color indexed="10"/>
        <rFont val="Arial"/>
        <family val="2"/>
      </rPr>
      <t>TH(LIMITADA A 0,8Sy)</t>
    </r>
    <r>
      <rPr>
        <b/>
        <sz val="10"/>
        <color indexed="10"/>
        <rFont val="Arial"/>
        <family val="2"/>
      </rPr>
      <t xml:space="preserve"> ≥ 1,3 X PMA CQ</t>
    </r>
  </si>
  <si>
    <r>
      <t xml:space="preserve">CASO </t>
    </r>
    <r>
      <rPr>
        <b/>
        <sz val="10"/>
        <color indexed="10"/>
        <rFont val="Arial"/>
        <family val="2"/>
      </rPr>
      <t>PTf &lt;PTH</t>
    </r>
    <r>
      <rPr>
        <b/>
        <sz val="10"/>
        <rFont val="Arial"/>
        <family val="2"/>
      </rPr>
      <t xml:space="preserve">, A PRESSÃO DE TESTE DO EQUIPAMENTO SERÁ </t>
    </r>
    <r>
      <rPr>
        <b/>
        <sz val="10"/>
        <color indexed="10"/>
        <rFont val="Arial"/>
        <family val="2"/>
      </rPr>
      <t>PTf</t>
    </r>
  </si>
  <si>
    <r>
      <t>P</t>
    </r>
    <r>
      <rPr>
        <b/>
        <sz val="8"/>
        <rFont val="Arial"/>
        <family val="2"/>
      </rPr>
      <t>Tf</t>
    </r>
    <r>
      <rPr>
        <b/>
        <sz val="10"/>
        <rFont val="Arial"/>
        <family val="2"/>
      </rPr>
      <t xml:space="preserve"> = </t>
    </r>
  </si>
  <si>
    <r>
      <t>P</t>
    </r>
    <r>
      <rPr>
        <b/>
        <sz val="8"/>
        <rFont val="Arial"/>
        <family val="2"/>
      </rPr>
      <t>Tf</t>
    </r>
    <r>
      <rPr>
        <b/>
        <sz val="10"/>
        <rFont val="Arial"/>
        <family val="0"/>
      </rPr>
      <t xml:space="preserve"> =P</t>
    </r>
    <r>
      <rPr>
        <b/>
        <sz val="8"/>
        <rFont val="Arial"/>
        <family val="2"/>
      </rPr>
      <t>tflange</t>
    </r>
    <r>
      <rPr>
        <b/>
        <sz val="10"/>
        <rFont val="Arial"/>
        <family val="0"/>
      </rPr>
      <t>-(</t>
    </r>
    <r>
      <rPr>
        <b/>
        <sz val="10"/>
        <rFont val="Symbol"/>
        <family val="1"/>
      </rPr>
      <t>D</t>
    </r>
    <r>
      <rPr>
        <b/>
        <sz val="10"/>
        <rFont val="Arial"/>
        <family val="0"/>
      </rPr>
      <t xml:space="preserve">P liq teste) </t>
    </r>
  </si>
  <si>
    <r>
      <t>PMA</t>
    </r>
    <r>
      <rPr>
        <b/>
        <sz val="8"/>
        <rFont val="Arial"/>
        <family val="2"/>
      </rPr>
      <t>38ºC (BAR)</t>
    </r>
  </si>
  <si>
    <r>
      <t>P</t>
    </r>
    <r>
      <rPr>
        <b/>
        <sz val="8"/>
        <rFont val="Arial"/>
        <family val="2"/>
      </rPr>
      <t>tflange</t>
    </r>
    <r>
      <rPr>
        <b/>
        <sz val="10"/>
        <rFont val="Arial"/>
        <family val="2"/>
      </rPr>
      <t xml:space="preserve"> = 1,5 X PMA38ºC</t>
    </r>
  </si>
  <si>
    <r>
      <t>SE P</t>
    </r>
    <r>
      <rPr>
        <b/>
        <sz val="8"/>
        <rFont val="Arial"/>
        <family val="2"/>
      </rPr>
      <t>TA</t>
    </r>
    <r>
      <rPr>
        <b/>
        <sz val="10"/>
        <rFont val="Arial"/>
        <family val="0"/>
      </rPr>
      <t>/T</t>
    </r>
    <r>
      <rPr>
        <b/>
        <sz val="8"/>
        <rFont val="Arial"/>
        <family val="2"/>
      </rPr>
      <t>N</t>
    </r>
    <r>
      <rPr>
        <b/>
        <sz val="10"/>
        <rFont val="Arial"/>
        <family val="0"/>
      </rPr>
      <t xml:space="preserve">  &gt;  P</t>
    </r>
    <r>
      <rPr>
        <b/>
        <sz val="8"/>
        <rFont val="Arial"/>
        <family val="2"/>
      </rPr>
      <t>TP</t>
    </r>
    <r>
      <rPr>
        <b/>
        <sz val="10"/>
        <rFont val="Arial"/>
        <family val="0"/>
      </rPr>
      <t>/T</t>
    </r>
    <r>
      <rPr>
        <b/>
        <sz val="8"/>
        <rFont val="Arial"/>
        <family val="2"/>
      </rPr>
      <t>C</t>
    </r>
    <r>
      <rPr>
        <b/>
        <sz val="10"/>
        <rFont val="Arial"/>
        <family val="0"/>
      </rPr>
      <t xml:space="preserve">  </t>
    </r>
    <r>
      <rPr>
        <b/>
        <sz val="10"/>
        <rFont val="Symbol"/>
        <family val="1"/>
      </rPr>
      <t xml:space="preserve">® </t>
    </r>
    <r>
      <rPr>
        <b/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OK! </t>
    </r>
  </si>
  <si>
    <r>
      <t>SE P</t>
    </r>
    <r>
      <rPr>
        <b/>
        <sz val="8"/>
        <rFont val="Arial"/>
        <family val="2"/>
      </rPr>
      <t>TA</t>
    </r>
    <r>
      <rPr>
        <b/>
        <sz val="10"/>
        <rFont val="Arial"/>
        <family val="0"/>
      </rPr>
      <t>/T</t>
    </r>
    <r>
      <rPr>
        <b/>
        <sz val="8"/>
        <rFont val="Arial"/>
        <family val="2"/>
      </rPr>
      <t>N</t>
    </r>
    <r>
      <rPr>
        <b/>
        <sz val="10"/>
        <rFont val="Arial"/>
        <family val="0"/>
      </rPr>
      <t xml:space="preserve">  &lt;  P</t>
    </r>
    <r>
      <rPr>
        <b/>
        <sz val="8"/>
        <rFont val="Arial"/>
        <family val="2"/>
      </rPr>
      <t>TP</t>
    </r>
    <r>
      <rPr>
        <b/>
        <sz val="10"/>
        <rFont val="Arial"/>
        <family val="0"/>
      </rPr>
      <t>/T</t>
    </r>
    <r>
      <rPr>
        <b/>
        <sz val="8"/>
        <rFont val="Arial"/>
        <family val="2"/>
      </rPr>
      <t>C</t>
    </r>
    <r>
      <rPr>
        <b/>
        <sz val="10"/>
        <rFont val="Arial"/>
        <family val="0"/>
      </rPr>
      <t xml:space="preserve">  </t>
    </r>
    <r>
      <rPr>
        <b/>
        <sz val="10"/>
        <rFont val="Symbol"/>
        <family val="1"/>
      </rPr>
      <t xml:space="preserve">® </t>
    </r>
    <r>
      <rPr>
        <b/>
        <sz val="10"/>
        <rFont val="Arial"/>
        <family val="0"/>
      </rPr>
      <t xml:space="preserve"> </t>
    </r>
    <r>
      <rPr>
        <b/>
        <sz val="10"/>
        <rFont val="Arial"/>
        <family val="2"/>
      </rPr>
      <t>DEVE-SE ESCOLHER OUTRA ESPESSURA PARA O COMPONENTE CRÍTICO</t>
    </r>
  </si>
  <si>
    <r>
      <t>P</t>
    </r>
    <r>
      <rPr>
        <b/>
        <sz val="8"/>
        <rFont val="Arial"/>
        <family val="2"/>
      </rPr>
      <t>TA</t>
    </r>
    <r>
      <rPr>
        <b/>
        <sz val="10"/>
        <rFont val="Arial"/>
        <family val="0"/>
      </rPr>
      <t>+</t>
    </r>
    <r>
      <rPr>
        <b/>
        <sz val="10"/>
        <rFont val="Symbol"/>
        <family val="1"/>
      </rPr>
      <t>D</t>
    </r>
    <r>
      <rPr>
        <b/>
        <sz val="10"/>
        <rFont val="Arial"/>
        <family val="0"/>
      </rPr>
      <t>P liq de teste</t>
    </r>
  </si>
  <si>
    <r>
      <t>0,8S</t>
    </r>
    <r>
      <rPr>
        <b/>
        <sz val="8"/>
        <rFont val="Arial"/>
        <family val="2"/>
      </rPr>
      <t>y</t>
    </r>
  </si>
  <si>
    <r>
      <t>TENSÃO RESULT &lt; 0,8S</t>
    </r>
    <r>
      <rPr>
        <b/>
        <sz val="7"/>
        <rFont val="Arial"/>
        <family val="2"/>
      </rPr>
      <t>y</t>
    </r>
  </si>
  <si>
    <r>
      <t>0,8S</t>
    </r>
    <r>
      <rPr>
        <b/>
        <sz val="8"/>
        <rFont val="Arial"/>
        <family val="2"/>
      </rPr>
      <t>y (Admissível)</t>
    </r>
  </si>
  <si>
    <r>
      <t>PRESSÃO CORRESP.                   PCP = PTH+</t>
    </r>
    <r>
      <rPr>
        <b/>
        <sz val="9"/>
        <rFont val="Symbol"/>
        <family val="1"/>
      </rPr>
      <t>D</t>
    </r>
    <r>
      <rPr>
        <b/>
        <sz val="9"/>
        <rFont val="Arial"/>
        <family val="2"/>
      </rPr>
      <t>P liq de teste</t>
    </r>
  </si>
  <si>
    <r>
      <t>P</t>
    </r>
    <r>
      <rPr>
        <b/>
        <sz val="8"/>
        <rFont val="Arial"/>
        <family val="2"/>
      </rPr>
      <t>TH(LIMITADA A 0,8Sy)</t>
    </r>
  </si>
  <si>
    <r>
      <t>ENTÃO  P</t>
    </r>
    <r>
      <rPr>
        <b/>
        <sz val="8"/>
        <rFont val="Arial"/>
        <family val="2"/>
      </rPr>
      <t>TH</t>
    </r>
  </si>
  <si>
    <r>
      <t>P</t>
    </r>
    <r>
      <rPr>
        <b/>
        <sz val="10"/>
        <rFont val="Arial"/>
        <family val="2"/>
      </rPr>
      <t>TA</t>
    </r>
  </si>
  <si>
    <r>
      <t xml:space="preserve">1,3PMA NF - </t>
    </r>
    <r>
      <rPr>
        <b/>
        <sz val="9"/>
        <rFont val="Symbol"/>
        <family val="1"/>
      </rPr>
      <t>D</t>
    </r>
    <r>
      <rPr>
        <b/>
        <sz val="9"/>
        <rFont val="Arial"/>
        <family val="0"/>
      </rPr>
      <t>P</t>
    </r>
  </si>
  <si>
    <r>
      <t>D</t>
    </r>
    <r>
      <rPr>
        <b/>
        <sz val="10"/>
        <rFont val="Arial"/>
        <family val="0"/>
      </rPr>
      <t>P</t>
    </r>
  </si>
  <si>
    <r>
      <t xml:space="preserve">PMA CQ - </t>
    </r>
    <r>
      <rPr>
        <b/>
        <sz val="10"/>
        <rFont val="Symbol"/>
        <family val="1"/>
      </rPr>
      <t>D</t>
    </r>
    <r>
      <rPr>
        <b/>
        <sz val="10"/>
        <rFont val="Arial"/>
        <family val="0"/>
      </rPr>
      <t>P</t>
    </r>
  </si>
  <si>
    <t>t requerida</t>
  </si>
  <si>
    <t>*Pressões aplicadas no Topo do Equipamento</t>
  </si>
  <si>
    <r>
      <t>D</t>
    </r>
    <r>
      <rPr>
        <b/>
        <sz val="10"/>
        <rFont val="Arial"/>
        <family val="0"/>
      </rPr>
      <t xml:space="preserve">P Costado </t>
    </r>
  </si>
  <si>
    <r>
      <t>D</t>
    </r>
    <r>
      <rPr>
        <b/>
        <sz val="10"/>
        <rFont val="Arial"/>
        <family val="0"/>
      </rPr>
      <t xml:space="preserve">P Tampo inferior  </t>
    </r>
  </si>
  <si>
    <t>8) CÁLCULO DE BOCAIS</t>
  </si>
  <si>
    <t>(entre   0  e  5 m)</t>
  </si>
  <si>
    <t>(entre   5 e 10 m)</t>
  </si>
  <si>
    <t>(entre 10 e 15 m)</t>
  </si>
  <si>
    <t>(entre 15 e 20 m)</t>
  </si>
  <si>
    <t>(entre 20 e 30 m)</t>
  </si>
  <si>
    <t>(entre 30 e 40 m)</t>
  </si>
  <si>
    <t>(entre 40 e 50 m)</t>
  </si>
  <si>
    <t>h5</t>
  </si>
  <si>
    <t>h10</t>
  </si>
  <si>
    <t>h15</t>
  </si>
  <si>
    <t>h20</t>
  </si>
  <si>
    <t>h30</t>
  </si>
  <si>
    <t>h40</t>
  </si>
  <si>
    <t>h50</t>
  </si>
  <si>
    <t>H</t>
  </si>
  <si>
    <t>Vo(m/s) - velocidade básica do vento Figura 1 - Isopletas NBR 6123</t>
  </si>
  <si>
    <t>S1 Fator topográfico / local plano</t>
  </si>
  <si>
    <t>S2 =Fator de rugosidade / tabela I  local área industrial / Categoria IV   equipamento Classe B / entre 20 e 50 m de altura</t>
  </si>
  <si>
    <t>S3 Fator estatístico</t>
  </si>
  <si>
    <t xml:space="preserve">Vk5 </t>
  </si>
  <si>
    <t xml:space="preserve">Vk10 </t>
  </si>
  <si>
    <t xml:space="preserve">Vk15 </t>
  </si>
  <si>
    <t xml:space="preserve">Vk20 </t>
  </si>
  <si>
    <t xml:space="preserve">Vk30 </t>
  </si>
  <si>
    <t xml:space="preserve">Vk40 </t>
  </si>
  <si>
    <t xml:space="preserve">Vk50 </t>
  </si>
  <si>
    <t>Velocidade do vento corrigida              Vk = Vo.S1.S2.S3  (m/s)</t>
  </si>
  <si>
    <t xml:space="preserve">q5 </t>
  </si>
  <si>
    <t xml:space="preserve">q10 </t>
  </si>
  <si>
    <t xml:space="preserve">q15 </t>
  </si>
  <si>
    <t xml:space="preserve">q20 </t>
  </si>
  <si>
    <t xml:space="preserve">q30 </t>
  </si>
  <si>
    <t xml:space="preserve">q40 </t>
  </si>
  <si>
    <t xml:space="preserve">q50 </t>
  </si>
  <si>
    <t>8.1) Cálculo da Pressão Dinâmica devido ao Vento</t>
  </si>
  <si>
    <t>8.2) Calculo dos Momentos</t>
  </si>
  <si>
    <t>8.2.2) Dados de Entrada</t>
  </si>
  <si>
    <t>Altura da saia</t>
  </si>
  <si>
    <t>Diametro externo (incluindo isolamento)</t>
  </si>
  <si>
    <t>Plataformas</t>
  </si>
  <si>
    <t>Nivel</t>
  </si>
  <si>
    <t>quantidade</t>
  </si>
  <si>
    <t>Escadas</t>
  </si>
  <si>
    <t>comprimento</t>
  </si>
  <si>
    <t xml:space="preserve"> 0-5 m</t>
  </si>
  <si>
    <t xml:space="preserve"> 5-10 m</t>
  </si>
  <si>
    <t>10-15 m</t>
  </si>
  <si>
    <t>15-20 m</t>
  </si>
  <si>
    <t>20-30 m</t>
  </si>
  <si>
    <t>30-40 m</t>
  </si>
  <si>
    <t>40-50 m</t>
  </si>
  <si>
    <t>Pressão Dinâmica do vento  q  (kgf/m²)</t>
  </si>
  <si>
    <t>SOMATÓRIO</t>
  </si>
  <si>
    <t>Área (m²)</t>
  </si>
  <si>
    <t>Área  Acessórios (m²)</t>
  </si>
  <si>
    <t>Pressão dinâmica q (kgf/m²)</t>
  </si>
  <si>
    <t>Força devido Vento          (kgf)</t>
  </si>
  <si>
    <t>Momento            (na base) (kgf.m)</t>
  </si>
  <si>
    <t>Momento                ( na linha tg) (kgf.m)</t>
  </si>
  <si>
    <t>9) VERIFICAÇÃO DA TENSÃO LONGITUDINAL</t>
  </si>
  <si>
    <t>ISOLAMENTO</t>
  </si>
  <si>
    <t>BOCAIS</t>
  </si>
  <si>
    <t>PESO</t>
  </si>
  <si>
    <t>150#</t>
  </si>
  <si>
    <t>VOLUME</t>
  </si>
  <si>
    <t>Peso</t>
  </si>
  <si>
    <t>Volume</t>
  </si>
  <si>
    <t>PESO(KG)</t>
  </si>
  <si>
    <t>ESPESSURA (mm)</t>
  </si>
  <si>
    <r>
      <t xml:space="preserve">Tensão Logitudinal devido ao </t>
    </r>
    <r>
      <rPr>
        <b/>
        <sz val="10"/>
        <rFont val="Arial"/>
        <family val="2"/>
      </rPr>
      <t>vento</t>
    </r>
    <r>
      <rPr>
        <sz val="10"/>
        <rFont val="Arial"/>
        <family val="0"/>
      </rPr>
      <t xml:space="preserve">  S</t>
    </r>
    <r>
      <rPr>
        <sz val="8"/>
        <rFont val="Arial"/>
        <family val="2"/>
      </rPr>
      <t>V</t>
    </r>
    <r>
      <rPr>
        <sz val="10"/>
        <rFont val="Arial"/>
        <family val="0"/>
      </rPr>
      <t>= 4M/</t>
    </r>
    <r>
      <rPr>
        <sz val="10"/>
        <rFont val="Symbol"/>
        <family val="1"/>
      </rPr>
      <t>p</t>
    </r>
    <r>
      <rPr>
        <sz val="10"/>
        <rFont val="Arial"/>
        <family val="0"/>
      </rPr>
      <t>.D²</t>
    </r>
    <r>
      <rPr>
        <sz val="8"/>
        <rFont val="Arial"/>
        <family val="2"/>
      </rPr>
      <t>sk</t>
    </r>
    <r>
      <rPr>
        <sz val="10"/>
        <rFont val="Arial"/>
        <family val="0"/>
      </rPr>
      <t>.t</t>
    </r>
    <r>
      <rPr>
        <sz val="8"/>
        <rFont val="Arial"/>
        <family val="2"/>
      </rPr>
      <t>sk</t>
    </r>
  </si>
  <si>
    <r>
      <t xml:space="preserve">Tensão Logitudinal devido a </t>
    </r>
    <r>
      <rPr>
        <b/>
        <sz val="10"/>
        <rFont val="Arial"/>
        <family val="2"/>
      </rPr>
      <t xml:space="preserve">pressão </t>
    </r>
    <r>
      <rPr>
        <sz val="10"/>
        <rFont val="Arial"/>
        <family val="0"/>
      </rPr>
      <t xml:space="preserve"> S</t>
    </r>
    <r>
      <rPr>
        <sz val="8"/>
        <rFont val="Arial"/>
        <family val="2"/>
      </rPr>
      <t>P</t>
    </r>
    <r>
      <rPr>
        <sz val="10"/>
        <rFont val="Arial"/>
        <family val="0"/>
      </rPr>
      <t>= P(R-0,4.t)/(2.t.E)</t>
    </r>
  </si>
  <si>
    <t>Dsk</t>
  </si>
  <si>
    <t>tsk</t>
  </si>
  <si>
    <r>
      <t xml:space="preserve">Tensão Logitudinal devido ao </t>
    </r>
    <r>
      <rPr>
        <b/>
        <sz val="10"/>
        <rFont val="Arial"/>
        <family val="2"/>
      </rPr>
      <t>peso</t>
    </r>
    <r>
      <rPr>
        <sz val="10"/>
        <rFont val="Arial"/>
        <family val="0"/>
      </rPr>
      <t xml:space="preserve">  S</t>
    </r>
    <r>
      <rPr>
        <sz val="8"/>
        <rFont val="Arial"/>
        <family val="2"/>
      </rPr>
      <t>W</t>
    </r>
    <r>
      <rPr>
        <sz val="10"/>
        <rFont val="Arial"/>
        <family val="0"/>
      </rPr>
      <t>= W/</t>
    </r>
    <r>
      <rPr>
        <sz val="10"/>
        <rFont val="Symbol"/>
        <family val="1"/>
      </rPr>
      <t>p</t>
    </r>
    <r>
      <rPr>
        <sz val="10"/>
        <rFont val="Arial"/>
        <family val="0"/>
      </rPr>
      <t>.D</t>
    </r>
    <r>
      <rPr>
        <sz val="8"/>
        <rFont val="Arial"/>
        <family val="2"/>
      </rPr>
      <t>sk</t>
    </r>
    <r>
      <rPr>
        <sz val="10"/>
        <rFont val="Arial"/>
        <family val="0"/>
      </rPr>
      <t>.t</t>
    </r>
    <r>
      <rPr>
        <sz val="8"/>
        <rFont val="Arial"/>
        <family val="2"/>
      </rPr>
      <t>sk</t>
    </r>
  </si>
  <si>
    <t>TOTAL NA BASE LADO VENTO</t>
  </si>
  <si>
    <t>TOTAL NA BASE LADO PROTEGIDO</t>
  </si>
  <si>
    <t>MONTAGEM kgf/cm²</t>
  </si>
  <si>
    <t>TESTE      kgf/cm²</t>
  </si>
  <si>
    <t>OPERAÇÃO kgf/cm²</t>
  </si>
  <si>
    <t>TOTAL  NA TG LADO VENTO</t>
  </si>
  <si>
    <t>TOTAL NA TG LADO PROTEGIDO</t>
  </si>
  <si>
    <r>
      <t xml:space="preserve">Tensão Logitudinal devido ao </t>
    </r>
    <r>
      <rPr>
        <b/>
        <sz val="10"/>
        <rFont val="Arial"/>
        <family val="2"/>
      </rPr>
      <t>vento</t>
    </r>
    <r>
      <rPr>
        <sz val="10"/>
        <rFont val="Arial"/>
        <family val="0"/>
      </rPr>
      <t xml:space="preserve">  S</t>
    </r>
    <r>
      <rPr>
        <sz val="8"/>
        <rFont val="Arial"/>
        <family val="2"/>
      </rPr>
      <t>V</t>
    </r>
    <r>
      <rPr>
        <sz val="10"/>
        <rFont val="Arial"/>
        <family val="0"/>
      </rPr>
      <t>= 4M/</t>
    </r>
    <r>
      <rPr>
        <sz val="10"/>
        <rFont val="Symbol"/>
        <family val="1"/>
      </rPr>
      <t>p</t>
    </r>
    <r>
      <rPr>
        <sz val="10"/>
        <rFont val="Arial"/>
        <family val="0"/>
      </rPr>
      <t>.D²</t>
    </r>
    <r>
      <rPr>
        <sz val="10"/>
        <rFont val="Arial"/>
        <family val="0"/>
      </rPr>
      <t>.t</t>
    </r>
  </si>
  <si>
    <r>
      <t xml:space="preserve">Tensão Logitudinal devido ao </t>
    </r>
    <r>
      <rPr>
        <b/>
        <sz val="10"/>
        <rFont val="Arial"/>
        <family val="2"/>
      </rPr>
      <t>peso</t>
    </r>
    <r>
      <rPr>
        <sz val="10"/>
        <rFont val="Arial"/>
        <family val="0"/>
      </rPr>
      <t xml:space="preserve">  S</t>
    </r>
    <r>
      <rPr>
        <sz val="8"/>
        <rFont val="Arial"/>
        <family val="2"/>
      </rPr>
      <t>W</t>
    </r>
    <r>
      <rPr>
        <sz val="10"/>
        <rFont val="Arial"/>
        <family val="0"/>
      </rPr>
      <t>= W/</t>
    </r>
    <r>
      <rPr>
        <sz val="10"/>
        <rFont val="Symbol"/>
        <family val="1"/>
      </rPr>
      <t>p</t>
    </r>
    <r>
      <rPr>
        <sz val="10"/>
        <rFont val="Arial"/>
        <family val="0"/>
      </rPr>
      <t>.D</t>
    </r>
    <r>
      <rPr>
        <sz val="10"/>
        <rFont val="Arial"/>
        <family val="0"/>
      </rPr>
      <t>.t</t>
    </r>
  </si>
  <si>
    <t>9.1)  TENSÃO LONGITUDINAL NA BASE</t>
  </si>
  <si>
    <t>9.2) TENSÃO LONGITUDINAL NA TANGENTE INFERIOR</t>
  </si>
  <si>
    <t>SERÁ O MENOR VALOR ENTRE:</t>
  </si>
  <si>
    <t>1- Tensão máxima admissível pelo código (Seção II parte D) na condição de projeto</t>
  </si>
  <si>
    <r>
      <t xml:space="preserve">S </t>
    </r>
    <r>
      <rPr>
        <sz val="8"/>
        <rFont val="Arial"/>
        <family val="2"/>
      </rPr>
      <t>(kgf/cm²)</t>
    </r>
  </si>
  <si>
    <r>
      <t>t</t>
    </r>
    <r>
      <rPr>
        <sz val="10"/>
        <rFont val="Arial"/>
        <family val="0"/>
      </rPr>
      <t xml:space="preserve"> espessura mín req do costado</t>
    </r>
  </si>
  <si>
    <r>
      <t>A</t>
    </r>
    <r>
      <rPr>
        <sz val="10"/>
        <rFont val="Arial"/>
        <family val="0"/>
      </rPr>
      <t>=0,125/(Ro/t)</t>
    </r>
  </si>
  <si>
    <r>
      <t>Ro</t>
    </r>
    <r>
      <rPr>
        <sz val="10"/>
        <rFont val="Arial"/>
        <family val="0"/>
      </rPr>
      <t xml:space="preserve"> raio externo do costado (mm)</t>
    </r>
  </si>
  <si>
    <t>2- Achar valor de B ( tensão longitudinal) com segue:</t>
  </si>
  <si>
    <t>Entre com valor de A e a Temperatura de projeto no grafico do material(seção II parte D Subparte 3) do costado e ache o valor de B</t>
  </si>
  <si>
    <t>B (psi)</t>
  </si>
  <si>
    <t>B (kgf/cm²)</t>
  </si>
  <si>
    <t>ACESSORIOS*</t>
  </si>
  <si>
    <t>plataformas</t>
  </si>
  <si>
    <t>171 kg/m²</t>
  </si>
  <si>
    <t>escadas c/ guarda corpo</t>
  </si>
  <si>
    <t>37 kg/m</t>
  </si>
  <si>
    <t>escadas s/ guarda corpo</t>
  </si>
  <si>
    <t>15 kg/m</t>
  </si>
  <si>
    <t>fire proofing</t>
  </si>
  <si>
    <t>146,5 kg/m²</t>
  </si>
  <si>
    <t>TABELA DE ESTIMATIVA PARA CÁLCULO DO PESO</t>
  </si>
  <si>
    <r>
      <t>T</t>
    </r>
    <r>
      <rPr>
        <sz val="8"/>
        <rFont val="Arial"/>
        <family val="2"/>
      </rPr>
      <t>LA</t>
    </r>
  </si>
  <si>
    <r>
      <t>9.3) TENSÃO LONGITUDINAL ADMISSÍVEL T</t>
    </r>
    <r>
      <rPr>
        <b/>
        <sz val="8"/>
        <rFont val="Arial"/>
        <family val="2"/>
      </rPr>
      <t>LA</t>
    </r>
  </si>
  <si>
    <t>9.4) VERIFICAÇÃO DA TENSÃO LOGITUDINAL</t>
  </si>
  <si>
    <r>
      <t>T</t>
    </r>
    <r>
      <rPr>
        <b/>
        <sz val="8"/>
        <rFont val="Arial"/>
        <family val="2"/>
      </rPr>
      <t>LA</t>
    </r>
    <r>
      <rPr>
        <b/>
        <sz val="10"/>
        <rFont val="Arial"/>
        <family val="2"/>
      </rPr>
      <t xml:space="preserve"> DEVERÁ SER MAIOR DO QUE OS VALORES CALCULADOS DE TENSÃO NA TANGENTE INFERIOR</t>
    </r>
  </si>
  <si>
    <r>
      <t>T</t>
    </r>
    <r>
      <rPr>
        <b/>
        <sz val="8"/>
        <rFont val="Arial"/>
        <family val="2"/>
      </rPr>
      <t>LA</t>
    </r>
    <r>
      <rPr>
        <b/>
        <sz val="10"/>
        <rFont val="Arial"/>
        <family val="2"/>
      </rPr>
      <t xml:space="preserve"> DEVERÁ SER MAIOR DO QUE OS VALORES CALCULADOS DE TENSÃO NA BASE</t>
    </r>
  </si>
  <si>
    <t>tabela de modulo de elasticidade para aços carbono C&lt;0,3%</t>
  </si>
  <si>
    <t>temp em ºC</t>
  </si>
  <si>
    <t>temp em ºF</t>
  </si>
  <si>
    <t>PESO (kg)</t>
  </si>
  <si>
    <t>PESO CHEIO DÁGUA (kg)</t>
  </si>
  <si>
    <t>PESO(kg)</t>
  </si>
  <si>
    <t>PESO OPERAÇÃO (kg)</t>
  </si>
  <si>
    <t>8) CALCULO DO MOMENTO NA BASE E NA LINHA DE TANGENCIA INFERIOR</t>
  </si>
  <si>
    <r>
      <t>D</t>
    </r>
    <r>
      <rPr>
        <b/>
        <sz val="10"/>
        <rFont val="Arial"/>
        <family val="0"/>
      </rPr>
      <t>P                  liq de teste</t>
    </r>
  </si>
  <si>
    <r>
      <t>D</t>
    </r>
    <r>
      <rPr>
        <b/>
        <sz val="10"/>
        <rFont val="Arial"/>
        <family val="0"/>
      </rPr>
      <t>P                  liq de teste horiz.</t>
    </r>
  </si>
  <si>
    <r>
      <t>P</t>
    </r>
    <r>
      <rPr>
        <b/>
        <sz val="10"/>
        <rFont val="Arial"/>
        <family val="2"/>
      </rPr>
      <t>TA HORIZ.</t>
    </r>
  </si>
  <si>
    <r>
      <t xml:space="preserve">1,3PMA NF - </t>
    </r>
    <r>
      <rPr>
        <b/>
        <sz val="9"/>
        <rFont val="Symbol"/>
        <family val="1"/>
      </rPr>
      <t>D</t>
    </r>
    <r>
      <rPr>
        <b/>
        <sz val="9"/>
        <rFont val="Arial"/>
        <family val="0"/>
      </rPr>
      <t>P HORIZ</t>
    </r>
  </si>
  <si>
    <t>Se PTA &lt;PTP   PTH será igual a PTP</t>
  </si>
  <si>
    <r>
      <t>Flanges - PMA</t>
    </r>
    <r>
      <rPr>
        <b/>
        <sz val="8"/>
        <rFont val="Arial"/>
        <family val="2"/>
      </rPr>
      <t>38ºC</t>
    </r>
    <r>
      <rPr>
        <b/>
        <sz val="10"/>
        <rFont val="Arial"/>
        <family val="2"/>
      </rPr>
      <t xml:space="preserve">  (bar)      </t>
    </r>
    <r>
      <rPr>
        <b/>
        <sz val="8"/>
        <rFont val="Arial"/>
        <family val="2"/>
      </rPr>
      <t>(ASME b16.5)</t>
    </r>
  </si>
  <si>
    <r>
      <t>Flanges - PMA</t>
    </r>
    <r>
      <rPr>
        <b/>
        <sz val="8"/>
        <rFont val="Arial"/>
        <family val="2"/>
      </rPr>
      <t>TEMP DE PROJ  (bar) (ASME b16.5)</t>
    </r>
  </si>
  <si>
    <r>
      <t xml:space="preserve">No caso de vasos horizontais </t>
    </r>
    <r>
      <rPr>
        <b/>
        <sz val="8"/>
        <rFont val="Symbol"/>
        <family val="1"/>
      </rPr>
      <t>D</t>
    </r>
    <r>
      <rPr>
        <b/>
        <sz val="8"/>
        <rFont val="Arial"/>
        <family val="2"/>
      </rPr>
      <t>P será o mesmo para todos componentes</t>
    </r>
  </si>
  <si>
    <r>
      <t>Verificação  PTH(limitada a 0,8Sy)</t>
    </r>
    <r>
      <rPr>
        <b/>
        <sz val="10"/>
        <rFont val="Symbol"/>
        <family val="1"/>
      </rPr>
      <t>³</t>
    </r>
    <r>
      <rPr>
        <b/>
        <sz val="9"/>
        <rFont val="Arial"/>
        <family val="0"/>
      </rPr>
      <t>1,3 PMA CQ</t>
    </r>
  </si>
  <si>
    <t>PRESSÃO DE TESTE HIDROST NF                       NA POSIÇÃO HORIZONTAL</t>
  </si>
  <si>
    <t>Diametro interno  (mm)</t>
  </si>
  <si>
    <t>Temperatura de Projeto (ºC)</t>
  </si>
  <si>
    <r>
      <t>Sobrespessura  Corrosão (</t>
    </r>
    <r>
      <rPr>
        <b/>
        <sz val="8"/>
        <rFont val="Arial"/>
        <family val="2"/>
      </rPr>
      <t>mm)</t>
    </r>
    <r>
      <rPr>
        <b/>
        <sz val="10"/>
        <rFont val="Arial"/>
        <family val="2"/>
      </rPr>
      <t xml:space="preserve"> </t>
    </r>
  </si>
  <si>
    <t>Pressão de Projeto (kgf/cm2)</t>
  </si>
  <si>
    <r>
      <t xml:space="preserve">Tensão admissível frio Sc  (kgf/cm2) </t>
    </r>
    <r>
      <rPr>
        <b/>
        <sz val="8"/>
        <rFont val="Arial"/>
        <family val="2"/>
      </rPr>
      <t>(ASME Seção II parte D)</t>
    </r>
  </si>
  <si>
    <r>
      <t xml:space="preserve">Tensão admissível quente Sh (kgf/cm2) </t>
    </r>
    <r>
      <rPr>
        <b/>
        <sz val="8"/>
        <rFont val="Arial"/>
        <family val="2"/>
      </rPr>
      <t xml:space="preserve">(ASME Seção II parte D) </t>
    </r>
  </si>
  <si>
    <r>
      <t xml:space="preserve">T de Escoamento à temp teste Sy  (kgf/cm2) </t>
    </r>
    <r>
      <rPr>
        <b/>
        <sz val="8"/>
        <rFont val="Arial"/>
        <family val="2"/>
      </rPr>
      <t>(ASME Seção II parte D)</t>
    </r>
  </si>
  <si>
    <t>Comprimento entre tangentes (m)</t>
  </si>
  <si>
    <t>TORRE CATALIZADORA</t>
  </si>
  <si>
    <t>U-340</t>
  </si>
  <si>
    <t>V-3404</t>
  </si>
  <si>
    <t>Altura do tampo h (mm)</t>
  </si>
  <si>
    <t>PSV 6"</t>
  </si>
  <si>
    <t>A106</t>
  </si>
  <si>
    <t>SAIDA DE PROD 6"</t>
  </si>
  <si>
    <t>RESERVA 3"</t>
  </si>
  <si>
    <t xml:space="preserve">BOCA DE VISITA 20" </t>
  </si>
  <si>
    <t>BOCA DE LIMP 20"</t>
  </si>
  <si>
    <t>dreno 6"</t>
  </si>
  <si>
    <t>ENT DE CARGA 6"</t>
  </si>
  <si>
    <t>RESPIRO NA SAIA 4"</t>
  </si>
  <si>
    <t>BOCAL DE ACESSO 20"</t>
  </si>
  <si>
    <t>PASSAGEM 10"</t>
  </si>
  <si>
    <t>MENOR VALOR ENTRE 1) E 2)</t>
  </si>
  <si>
    <r>
      <t>Rn =(</t>
    </r>
    <r>
      <rPr>
        <sz val="8"/>
        <rFont val="Arial"/>
        <family val="2"/>
      </rPr>
      <t>Dext - 2.SCH.0,875)/2 +C</t>
    </r>
  </si>
  <si>
    <t>Comprimento do bocal</t>
  </si>
  <si>
    <r>
      <t>UG-45(a)</t>
    </r>
    <r>
      <rPr>
        <sz val="10"/>
        <rFont val="Arial"/>
        <family val="2"/>
      </rPr>
      <t xml:space="preserve">                                                                                        trn espessura requerida                                                                     trn = PRn/(SnE - 0,6P) + C</t>
    </r>
  </si>
  <si>
    <r>
      <t>UG-45(b1)</t>
    </r>
    <r>
      <rPr>
        <sz val="10"/>
        <rFont val="Arial"/>
        <family val="2"/>
      </rPr>
      <t xml:space="preserve">                                                                                         tr espessura do componente com E=1                                     tr = PR/(SE - 0,6P) + C</t>
    </r>
  </si>
  <si>
    <r>
      <t>UG-45(b4)</t>
    </r>
    <r>
      <rPr>
        <sz val="10"/>
        <rFont val="Arial"/>
        <family val="2"/>
      </rPr>
      <t xml:space="preserve">                                                                                      trn espessura do bocal </t>
    </r>
    <r>
      <rPr>
        <b/>
        <sz val="10"/>
        <rFont val="Arial"/>
        <family val="2"/>
      </rPr>
      <t>STD</t>
    </r>
    <r>
      <rPr>
        <sz val="10"/>
        <rFont val="Arial"/>
        <family val="2"/>
      </rPr>
      <t xml:space="preserve"> ASME B36.10                   (STD x 0,875) + C  </t>
    </r>
  </si>
  <si>
    <t xml:space="preserve">O diâmetro do reforço escolhido deverá     ser ≤ do que 2 x limite paralelo </t>
  </si>
  <si>
    <t>dn= 2.Rn</t>
  </si>
  <si>
    <t>Área requerida de reforço (mm²)                                               A = dn.tr + 2.tn.tr.(1-fr1)</t>
  </si>
  <si>
    <t>A1 é o maior valor entre:                                                    dn.(E1.t-tr) - 2.tn(E1.t-tr)(1-fr1)                                         2(t+tn)(E1t-tr)-2tn(E1t-tr)(1-fr1)</t>
  </si>
  <si>
    <t>A2 é o menor valor entre :                                                       5(tn-trn)fr2.t       e           5(tn-trn)fr2.tn</t>
  </si>
  <si>
    <t>A2 é o menor valor entre :                                                             5(tn-trn)fr2.t       e           2(tn-trn)(2,5tn+te)fr2</t>
  </si>
  <si>
    <t>A5 = (Dp-dn-2tn)te.fr4</t>
  </si>
  <si>
    <r>
      <t>UG-45(a)</t>
    </r>
    <r>
      <rPr>
        <sz val="10"/>
        <rFont val="Arial"/>
        <family val="2"/>
      </rPr>
      <t xml:space="preserve">                                                                     trn espessura requerida                                              trn = PRn/(SnE - 0,6P) + C</t>
    </r>
  </si>
  <si>
    <r>
      <t>UG-45(b1)</t>
    </r>
    <r>
      <rPr>
        <sz val="10"/>
        <rFont val="Arial"/>
        <family val="2"/>
      </rPr>
      <t xml:space="preserve">                                                                     tr espessura do componente com E=1                         tr = PR/(SE - 0,6P) + C</t>
    </r>
  </si>
  <si>
    <r>
      <t>UG-45(b4)</t>
    </r>
    <r>
      <rPr>
        <sz val="10"/>
        <rFont val="Arial"/>
        <family val="2"/>
      </rPr>
      <t xml:space="preserve">                                                                   trn espessura do bocal </t>
    </r>
    <r>
      <rPr>
        <b/>
        <sz val="10"/>
        <rFont val="Arial"/>
        <family val="2"/>
      </rPr>
      <t>STD</t>
    </r>
    <r>
      <rPr>
        <sz val="10"/>
        <rFont val="Arial"/>
        <family val="2"/>
      </rPr>
      <t xml:space="preserve"> ASME B36.10               (STD x 0,875) + C  </t>
    </r>
  </si>
  <si>
    <t>Área requerida de reforço (mm²)                                  A = d.tr + 2.tn.tr.(1-fr1)</t>
  </si>
  <si>
    <r>
      <t>Avaliação da Área de Reforço Disponível com Anel</t>
    </r>
    <r>
      <rPr>
        <b/>
        <i/>
        <sz val="10"/>
        <color indexed="10"/>
        <rFont val="Arial"/>
        <family val="2"/>
      </rPr>
      <t xml:space="preserve"> se :         A&lt;A1+A2+A3+A41+A42+A43+A5 --&gt;          Anel de Reforço OK!                                                    Caso contrário Redimensionar Anel de Reforço</t>
    </r>
  </si>
  <si>
    <r>
      <t>Avaliação da Área de Reforço Disponível com Anel</t>
    </r>
    <r>
      <rPr>
        <b/>
        <i/>
        <sz val="10"/>
        <color indexed="10"/>
        <rFont val="Arial"/>
        <family val="2"/>
      </rPr>
      <t xml:space="preserve">           se : A&lt;A1+A2+A3+A41+A42+A43+A5 --&gt;              Anel de Reforço OK!                                                    Caso contrário Redimensionar Anel de Reforço</t>
    </r>
  </si>
  <si>
    <r>
      <t xml:space="preserve">Nível max de operação   (mm)    </t>
    </r>
    <r>
      <rPr>
        <b/>
        <sz val="9"/>
        <rFont val="Arial"/>
        <family val="2"/>
      </rPr>
      <t xml:space="preserve">(se vaso horiz = diametro) </t>
    </r>
  </si>
  <si>
    <t>Mínima pela      N-253</t>
  </si>
  <si>
    <r>
      <t>6.1) PRESSÃO DE TESTE PADRÃO (VASO CORROIDO) P</t>
    </r>
    <r>
      <rPr>
        <b/>
        <sz val="8"/>
        <rFont val="Arial"/>
        <family val="2"/>
      </rPr>
      <t>TP</t>
    </r>
    <r>
      <rPr>
        <b/>
        <sz val="10"/>
        <rFont val="Arial"/>
        <family val="2"/>
      </rPr>
      <t xml:space="preserve"> = PMA DO EQUIP CQ x 1,5 x (Sc/Sh) *</t>
    </r>
  </si>
  <si>
    <r>
      <t xml:space="preserve">     CÁLCULO DE VASO DE PRESSÃO                                                                        </t>
    </r>
    <r>
      <rPr>
        <b/>
        <sz val="10"/>
        <rFont val="Arial"/>
        <family val="2"/>
      </rPr>
      <t>CÓDIGO ASME VIII DIV 1 DE 2004 - Por Alexandre Esteves - Petrobras</t>
    </r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</si>
</sst>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0"/>
    <numFmt numFmtId="178" formatCode="0.00000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00000"/>
    <numFmt numFmtId="184" formatCode="_(* #,##0.000_);_(* \(#,##0.000\);_(* &quot;-&quot;??_);_(@_)"/>
    <numFmt numFmtId="185" formatCode="_(* #,##0.0000_);_(* \(#,##0.0000\);_(* &quot;-&quot;??_);_(@_)"/>
    <numFmt numFmtId="186" formatCode="0.0000000000"/>
    <numFmt numFmtId="187" formatCode="0.00000000000"/>
    <numFmt numFmtId="188" formatCode="0.000000000"/>
  </numFmts>
  <fonts count="56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7.5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i/>
      <sz val="9"/>
      <color indexed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Symbol"/>
      <family val="1"/>
    </font>
    <font>
      <b/>
      <sz val="8"/>
      <color indexed="10"/>
      <name val="Arial"/>
      <family val="2"/>
    </font>
    <font>
      <b/>
      <sz val="9"/>
      <name val="Arial"/>
      <family val="0"/>
    </font>
    <font>
      <b/>
      <sz val="7"/>
      <name val="Arial"/>
      <family val="2"/>
    </font>
    <font>
      <b/>
      <sz val="9"/>
      <name val="Symbol"/>
      <family val="1"/>
    </font>
    <font>
      <sz val="10"/>
      <name val="Symbol"/>
      <family val="1"/>
    </font>
    <font>
      <b/>
      <sz val="9"/>
      <color indexed="10"/>
      <name val="Arial"/>
      <family val="2"/>
    </font>
    <font>
      <b/>
      <sz val="8"/>
      <name val="Symbol"/>
      <family val="1"/>
    </font>
    <font>
      <b/>
      <sz val="14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2" fontId="0" fillId="0" borderId="0" xfId="62" applyNumberFormat="1" applyFont="1" applyAlignment="1">
      <alignment horizontal="center"/>
    </xf>
    <xf numFmtId="2" fontId="0" fillId="0" borderId="0" xfId="0" applyNumberFormat="1" applyAlignment="1">
      <alignment/>
    </xf>
    <xf numFmtId="2" fontId="4" fillId="0" borderId="0" xfId="0" applyNumberFormat="1" applyFont="1" applyBorder="1" applyAlignment="1">
      <alignment horizontal="center" vertical="top" wrapText="1"/>
    </xf>
    <xf numFmtId="2" fontId="0" fillId="0" borderId="12" xfId="0" applyNumberFormat="1" applyBorder="1" applyAlignment="1">
      <alignment/>
    </xf>
    <xf numFmtId="2" fontId="5" fillId="0" borderId="0" xfId="0" applyNumberFormat="1" applyFont="1" applyBorder="1" applyAlignment="1">
      <alignment horizontal="center" vertical="top" wrapText="1"/>
    </xf>
    <xf numFmtId="176" fontId="0" fillId="0" borderId="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62" applyNumberFormat="1" applyFont="1" applyAlignment="1">
      <alignment horizontal="center"/>
    </xf>
    <xf numFmtId="176" fontId="0" fillId="33" borderId="10" xfId="0" applyNumberFormat="1" applyFill="1" applyBorder="1" applyAlignment="1">
      <alignment horizontal="center" vertical="center" wrapText="1"/>
    </xf>
    <xf numFmtId="176" fontId="0" fillId="35" borderId="10" xfId="0" applyNumberForma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0" fillId="33" borderId="10" xfId="0" applyNumberForma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35" borderId="10" xfId="0" applyFill="1" applyBorder="1" applyAlignment="1">
      <alignment horizontal="center" vertical="center" wrapText="1"/>
    </xf>
    <xf numFmtId="175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9" fillId="0" borderId="0" xfId="44" applyFont="1" applyAlignment="1" applyProtection="1">
      <alignment/>
      <protection/>
    </xf>
    <xf numFmtId="0" fontId="0" fillId="0" borderId="0" xfId="0" applyFont="1" applyAlignment="1">
      <alignment/>
    </xf>
    <xf numFmtId="2" fontId="0" fillId="0" borderId="13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0" xfId="0" applyBorder="1" applyAlignment="1">
      <alignment horizontal="center"/>
    </xf>
    <xf numFmtId="2" fontId="0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right"/>
    </xf>
    <xf numFmtId="0" fontId="3" fillId="33" borderId="17" xfId="0" applyFont="1" applyFill="1" applyBorder="1" applyAlignment="1">
      <alignment/>
    </xf>
    <xf numFmtId="176" fontId="3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75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175" fontId="3" fillId="33" borderId="1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10" xfId="0" applyFont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right"/>
    </xf>
    <xf numFmtId="0" fontId="3" fillId="0" borderId="0" xfId="0" applyFont="1" applyFill="1" applyAlignment="1">
      <alignment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0" fillId="33" borderId="21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22" xfId="0" applyNumberForma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2" fontId="3" fillId="35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176" fontId="0" fillId="33" borderId="24" xfId="0" applyNumberFormat="1" applyFill="1" applyBorder="1" applyAlignment="1">
      <alignment horizontal="center" vertical="center" wrapText="1"/>
    </xf>
    <xf numFmtId="176" fontId="3" fillId="33" borderId="24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6" fontId="2" fillId="33" borderId="12" xfId="0" applyNumberFormat="1" applyFont="1" applyFill="1" applyBorder="1" applyAlignment="1">
      <alignment horizontal="center" vertical="center" wrapText="1"/>
    </xf>
    <xf numFmtId="176" fontId="2" fillId="33" borderId="17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6" fontId="3" fillId="35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vertical="center" wrapText="1"/>
    </xf>
    <xf numFmtId="176" fontId="14" fillId="0" borderId="10" xfId="0" applyNumberFormat="1" applyFont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/>
    </xf>
    <xf numFmtId="176" fontId="0" fillId="33" borderId="24" xfId="0" applyNumberFormat="1" applyFill="1" applyBorder="1" applyAlignment="1">
      <alignment horizontal="center" vertical="center"/>
    </xf>
    <xf numFmtId="176" fontId="2" fillId="33" borderId="25" xfId="0" applyNumberFormat="1" applyFont="1" applyFill="1" applyBorder="1" applyAlignment="1">
      <alignment horizontal="center" vertical="center"/>
    </xf>
    <xf numFmtId="176" fontId="2" fillId="33" borderId="26" xfId="0" applyNumberFormat="1" applyFont="1" applyFill="1" applyBorder="1" applyAlignment="1">
      <alignment horizontal="center" vertical="center"/>
    </xf>
    <xf numFmtId="176" fontId="2" fillId="33" borderId="15" xfId="0" applyNumberFormat="1" applyFont="1" applyFill="1" applyBorder="1" applyAlignment="1">
      <alignment horizontal="center" vertical="center"/>
    </xf>
    <xf numFmtId="174" fontId="3" fillId="33" borderId="10" xfId="0" applyNumberFormat="1" applyFont="1" applyFill="1" applyBorder="1" applyAlignment="1">
      <alignment horizontal="center" vertical="center" wrapText="1"/>
    </xf>
    <xf numFmtId="176" fontId="14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left"/>
    </xf>
    <xf numFmtId="0" fontId="14" fillId="35" borderId="10" xfId="0" applyFont="1" applyFill="1" applyBorder="1" applyAlignment="1">
      <alignment horizontal="center"/>
    </xf>
    <xf numFmtId="176" fontId="3" fillId="33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center" vertical="center"/>
    </xf>
    <xf numFmtId="174" fontId="3" fillId="33" borderId="10" xfId="0" applyNumberFormat="1" applyFont="1" applyFill="1" applyBorder="1" applyAlignment="1">
      <alignment horizontal="center" vertical="center" wrapText="1"/>
    </xf>
    <xf numFmtId="174" fontId="2" fillId="33" borderId="27" xfId="0" applyNumberFormat="1" applyFont="1" applyFill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174" fontId="0" fillId="33" borderId="10" xfId="0" applyNumberFormat="1" applyFill="1" applyBorder="1" applyAlignment="1">
      <alignment horizontal="center" vertical="center" wrapText="1"/>
    </xf>
    <xf numFmtId="174" fontId="2" fillId="33" borderId="28" xfId="0" applyNumberFormat="1" applyFont="1" applyFill="1" applyBorder="1" applyAlignment="1">
      <alignment horizontal="right" vertical="center" wrapText="1"/>
    </xf>
    <xf numFmtId="175" fontId="2" fillId="33" borderId="28" xfId="0" applyNumberFormat="1" applyFont="1" applyFill="1" applyBorder="1" applyAlignment="1">
      <alignment/>
    </xf>
    <xf numFmtId="174" fontId="3" fillId="33" borderId="29" xfId="0" applyNumberFormat="1" applyFont="1" applyFill="1" applyBorder="1" applyAlignment="1">
      <alignment vertical="center" wrapText="1"/>
    </xf>
    <xf numFmtId="174" fontId="3" fillId="33" borderId="30" xfId="0" applyNumberFormat="1" applyFont="1" applyFill="1" applyBorder="1" applyAlignment="1">
      <alignment vertical="center" wrapText="1"/>
    </xf>
    <xf numFmtId="176" fontId="0" fillId="36" borderId="10" xfId="0" applyNumberForma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 vertical="center" wrapText="1"/>
    </xf>
    <xf numFmtId="176" fontId="2" fillId="36" borderId="10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2" fontId="3" fillId="33" borderId="20" xfId="0" applyNumberFormat="1" applyFont="1" applyFill="1" applyBorder="1" applyAlignment="1">
      <alignment horizontal="center" vertical="center" wrapText="1"/>
    </xf>
    <xf numFmtId="2" fontId="3" fillId="33" borderId="3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 vertical="center" wrapText="1"/>
    </xf>
    <xf numFmtId="0" fontId="2" fillId="37" borderId="28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3" fillId="37" borderId="33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14" fillId="0" borderId="18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4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76" fontId="0" fillId="33" borderId="10" xfId="0" applyNumberForma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3" fillId="0" borderId="0" xfId="0" applyFont="1" applyAlignment="1">
      <alignment horizontal="left"/>
    </xf>
    <xf numFmtId="0" fontId="7" fillId="33" borderId="39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6" fillId="33" borderId="40" xfId="0" applyFont="1" applyFill="1" applyBorder="1" applyAlignment="1">
      <alignment horizontal="left" vertical="center" wrapText="1"/>
    </xf>
    <xf numFmtId="0" fontId="6" fillId="33" borderId="41" xfId="0" applyFont="1" applyFill="1" applyBorder="1" applyAlignment="1">
      <alignment horizontal="left" vertical="center" wrapText="1"/>
    </xf>
    <xf numFmtId="0" fontId="6" fillId="33" borderId="42" xfId="0" applyFont="1" applyFill="1" applyBorder="1" applyAlignment="1">
      <alignment horizontal="left" vertical="center" wrapText="1"/>
    </xf>
    <xf numFmtId="0" fontId="6" fillId="33" borderId="43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36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76" fontId="3" fillId="33" borderId="18" xfId="0" applyNumberFormat="1" applyFont="1" applyFill="1" applyBorder="1" applyAlignment="1">
      <alignment horizontal="center" vertical="center" wrapText="1"/>
    </xf>
    <xf numFmtId="176" fontId="3" fillId="33" borderId="33" xfId="0" applyNumberFormat="1" applyFont="1" applyFill="1" applyBorder="1" applyAlignment="1">
      <alignment horizontal="center" vertical="center" wrapText="1"/>
    </xf>
    <xf numFmtId="176" fontId="3" fillId="33" borderId="13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9.emf" /><Relationship Id="rId3" Type="http://schemas.openxmlformats.org/officeDocument/2006/relationships/image" Target="../media/image12.emf" /><Relationship Id="rId4" Type="http://schemas.openxmlformats.org/officeDocument/2006/relationships/image" Target="../media/image22.emf" /><Relationship Id="rId5" Type="http://schemas.openxmlformats.org/officeDocument/2006/relationships/image" Target="../media/image19.emf" /><Relationship Id="rId6" Type="http://schemas.openxmlformats.org/officeDocument/2006/relationships/image" Target="../media/image1.emf" /><Relationship Id="rId7" Type="http://schemas.openxmlformats.org/officeDocument/2006/relationships/image" Target="../media/image20.emf" /><Relationship Id="rId8" Type="http://schemas.openxmlformats.org/officeDocument/2006/relationships/image" Target="../media/image7.emf" /><Relationship Id="rId9" Type="http://schemas.openxmlformats.org/officeDocument/2006/relationships/image" Target="../media/image6.emf" /><Relationship Id="rId10" Type="http://schemas.openxmlformats.org/officeDocument/2006/relationships/image" Target="../media/image15.emf" /><Relationship Id="rId11" Type="http://schemas.openxmlformats.org/officeDocument/2006/relationships/image" Target="../media/image25.emf" /><Relationship Id="rId12" Type="http://schemas.openxmlformats.org/officeDocument/2006/relationships/image" Target="../media/image1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13.emf" /><Relationship Id="rId3" Type="http://schemas.openxmlformats.org/officeDocument/2006/relationships/image" Target="../media/image21.emf" /><Relationship Id="rId4" Type="http://schemas.openxmlformats.org/officeDocument/2006/relationships/image" Target="../media/image11.emf" /><Relationship Id="rId5" Type="http://schemas.openxmlformats.org/officeDocument/2006/relationships/image" Target="../media/image5.emf" /><Relationship Id="rId6" Type="http://schemas.openxmlformats.org/officeDocument/2006/relationships/image" Target="../media/image14.emf" /><Relationship Id="rId7" Type="http://schemas.openxmlformats.org/officeDocument/2006/relationships/image" Target="../media/image17.emf" /><Relationship Id="rId8" Type="http://schemas.openxmlformats.org/officeDocument/2006/relationships/image" Target="../media/image8.emf" /><Relationship Id="rId9" Type="http://schemas.openxmlformats.org/officeDocument/2006/relationships/image" Target="../media/image23.emf" /><Relationship Id="rId10" Type="http://schemas.openxmlformats.org/officeDocument/2006/relationships/image" Target="../media/image26.emf" /><Relationship Id="rId11" Type="http://schemas.openxmlformats.org/officeDocument/2006/relationships/image" Target="../media/image4.emf" /><Relationship Id="rId12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5</xdr:row>
      <xdr:rowOff>9525</xdr:rowOff>
    </xdr:from>
    <xdr:to>
      <xdr:col>5</xdr:col>
      <xdr:colOff>19050</xdr:colOff>
      <xdr:row>5</xdr:row>
      <xdr:rowOff>247650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143000"/>
          <a:ext cx="1162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19050</xdr:colOff>
      <xdr:row>15</xdr:row>
      <xdr:rowOff>9525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4029075"/>
          <a:ext cx="1171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5</xdr:row>
      <xdr:rowOff>9525</xdr:rowOff>
    </xdr:from>
    <xdr:to>
      <xdr:col>6</xdr:col>
      <xdr:colOff>9525</xdr:colOff>
      <xdr:row>5</xdr:row>
      <xdr:rowOff>247650</xdr:rowOff>
    </xdr:to>
    <xdr:pic>
      <xdr:nvPicPr>
        <xdr:cNvPr id="3" name="Combo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05350" y="1143000"/>
          <a:ext cx="1162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9525</xdr:rowOff>
    </xdr:from>
    <xdr:to>
      <xdr:col>7</xdr:col>
      <xdr:colOff>9525</xdr:colOff>
      <xdr:row>5</xdr:row>
      <xdr:rowOff>247650</xdr:rowOff>
    </xdr:to>
    <xdr:pic>
      <xdr:nvPicPr>
        <xdr:cNvPr id="4" name="Combo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57875" y="1143000"/>
          <a:ext cx="1162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9525</xdr:rowOff>
    </xdr:from>
    <xdr:to>
      <xdr:col>8</xdr:col>
      <xdr:colOff>19050</xdr:colOff>
      <xdr:row>5</xdr:row>
      <xdr:rowOff>247650</xdr:rowOff>
    </xdr:to>
    <xdr:pic>
      <xdr:nvPicPr>
        <xdr:cNvPr id="5" name="Combo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19925" y="1143000"/>
          <a:ext cx="1162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9525</xdr:rowOff>
    </xdr:from>
    <xdr:to>
      <xdr:col>9</xdr:col>
      <xdr:colOff>9525</xdr:colOff>
      <xdr:row>5</xdr:row>
      <xdr:rowOff>247650</xdr:rowOff>
    </xdr:to>
    <xdr:pic>
      <xdr:nvPicPr>
        <xdr:cNvPr id="6" name="Combo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62925" y="1143000"/>
          <a:ext cx="1162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5</xdr:row>
      <xdr:rowOff>9525</xdr:rowOff>
    </xdr:from>
    <xdr:to>
      <xdr:col>10</xdr:col>
      <xdr:colOff>19050</xdr:colOff>
      <xdr:row>5</xdr:row>
      <xdr:rowOff>247650</xdr:rowOff>
    </xdr:to>
    <xdr:pic>
      <xdr:nvPicPr>
        <xdr:cNvPr id="7" name="Combo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324975" y="1143000"/>
          <a:ext cx="1162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14</xdr:row>
      <xdr:rowOff>0</xdr:rowOff>
    </xdr:from>
    <xdr:to>
      <xdr:col>5</xdr:col>
      <xdr:colOff>1171575</xdr:colOff>
      <xdr:row>15</xdr:row>
      <xdr:rowOff>9525</xdr:rowOff>
    </xdr:to>
    <xdr:pic>
      <xdr:nvPicPr>
        <xdr:cNvPr id="8" name="Combo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95825" y="4029075"/>
          <a:ext cx="1162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7</xdr:col>
      <xdr:colOff>19050</xdr:colOff>
      <xdr:row>15</xdr:row>
      <xdr:rowOff>9525</xdr:rowOff>
    </xdr:to>
    <xdr:pic>
      <xdr:nvPicPr>
        <xdr:cNvPr id="9" name="Combo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57875" y="4029075"/>
          <a:ext cx="1171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8</xdr:col>
      <xdr:colOff>19050</xdr:colOff>
      <xdr:row>15</xdr:row>
      <xdr:rowOff>9525</xdr:rowOff>
    </xdr:to>
    <xdr:pic>
      <xdr:nvPicPr>
        <xdr:cNvPr id="10" name="Combo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10400" y="4029075"/>
          <a:ext cx="1171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9</xdr:col>
      <xdr:colOff>19050</xdr:colOff>
      <xdr:row>15</xdr:row>
      <xdr:rowOff>9525</xdr:rowOff>
    </xdr:to>
    <xdr:pic>
      <xdr:nvPicPr>
        <xdr:cNvPr id="11" name="Combo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62925" y="4029075"/>
          <a:ext cx="1171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10</xdr:col>
      <xdr:colOff>19050</xdr:colOff>
      <xdr:row>15</xdr:row>
      <xdr:rowOff>9525</xdr:rowOff>
    </xdr:to>
    <xdr:pic>
      <xdr:nvPicPr>
        <xdr:cNvPr id="12" name="Combo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315450" y="4029075"/>
          <a:ext cx="1171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5</xdr:row>
      <xdr:rowOff>9525</xdr:rowOff>
    </xdr:from>
    <xdr:to>
      <xdr:col>5</xdr:col>
      <xdr:colOff>19050</xdr:colOff>
      <xdr:row>5</xdr:row>
      <xdr:rowOff>247650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095375"/>
          <a:ext cx="1162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5</xdr:col>
      <xdr:colOff>19050</xdr:colOff>
      <xdr:row>14</xdr:row>
      <xdr:rowOff>266700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3924300"/>
          <a:ext cx="1171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5</xdr:row>
      <xdr:rowOff>9525</xdr:rowOff>
    </xdr:from>
    <xdr:to>
      <xdr:col>6</xdr:col>
      <xdr:colOff>9525</xdr:colOff>
      <xdr:row>5</xdr:row>
      <xdr:rowOff>247650</xdr:rowOff>
    </xdr:to>
    <xdr:pic>
      <xdr:nvPicPr>
        <xdr:cNvPr id="3" name="Combo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05350" y="1095375"/>
          <a:ext cx="1162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9525</xdr:rowOff>
    </xdr:from>
    <xdr:to>
      <xdr:col>7</xdr:col>
      <xdr:colOff>9525</xdr:colOff>
      <xdr:row>5</xdr:row>
      <xdr:rowOff>247650</xdr:rowOff>
    </xdr:to>
    <xdr:pic>
      <xdr:nvPicPr>
        <xdr:cNvPr id="4" name="Combo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57875" y="1095375"/>
          <a:ext cx="1162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9525</xdr:rowOff>
    </xdr:from>
    <xdr:to>
      <xdr:col>8</xdr:col>
      <xdr:colOff>19050</xdr:colOff>
      <xdr:row>5</xdr:row>
      <xdr:rowOff>247650</xdr:rowOff>
    </xdr:to>
    <xdr:pic>
      <xdr:nvPicPr>
        <xdr:cNvPr id="5" name="Combo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19925" y="1095375"/>
          <a:ext cx="1162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9525</xdr:rowOff>
    </xdr:from>
    <xdr:to>
      <xdr:col>9</xdr:col>
      <xdr:colOff>9525</xdr:colOff>
      <xdr:row>5</xdr:row>
      <xdr:rowOff>247650</xdr:rowOff>
    </xdr:to>
    <xdr:pic>
      <xdr:nvPicPr>
        <xdr:cNvPr id="6" name="Combo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62925" y="1095375"/>
          <a:ext cx="1162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5</xdr:row>
      <xdr:rowOff>9525</xdr:rowOff>
    </xdr:from>
    <xdr:to>
      <xdr:col>10</xdr:col>
      <xdr:colOff>19050</xdr:colOff>
      <xdr:row>5</xdr:row>
      <xdr:rowOff>247650</xdr:rowOff>
    </xdr:to>
    <xdr:pic>
      <xdr:nvPicPr>
        <xdr:cNvPr id="7" name="Combo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324975" y="1095375"/>
          <a:ext cx="1162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14</xdr:row>
      <xdr:rowOff>0</xdr:rowOff>
    </xdr:from>
    <xdr:to>
      <xdr:col>5</xdr:col>
      <xdr:colOff>1171575</xdr:colOff>
      <xdr:row>14</xdr:row>
      <xdr:rowOff>266700</xdr:rowOff>
    </xdr:to>
    <xdr:pic>
      <xdr:nvPicPr>
        <xdr:cNvPr id="8" name="Combo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95825" y="3924300"/>
          <a:ext cx="1162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7</xdr:col>
      <xdr:colOff>19050</xdr:colOff>
      <xdr:row>14</xdr:row>
      <xdr:rowOff>266700</xdr:rowOff>
    </xdr:to>
    <xdr:pic>
      <xdr:nvPicPr>
        <xdr:cNvPr id="9" name="Combo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57875" y="3924300"/>
          <a:ext cx="1171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8</xdr:col>
      <xdr:colOff>19050</xdr:colOff>
      <xdr:row>14</xdr:row>
      <xdr:rowOff>266700</xdr:rowOff>
    </xdr:to>
    <xdr:pic>
      <xdr:nvPicPr>
        <xdr:cNvPr id="10" name="Combo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10400" y="3924300"/>
          <a:ext cx="1171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9</xdr:col>
      <xdr:colOff>19050</xdr:colOff>
      <xdr:row>14</xdr:row>
      <xdr:rowOff>266700</xdr:rowOff>
    </xdr:to>
    <xdr:pic>
      <xdr:nvPicPr>
        <xdr:cNvPr id="11" name="Combo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62925" y="3924300"/>
          <a:ext cx="1171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10</xdr:col>
      <xdr:colOff>19050</xdr:colOff>
      <xdr:row>14</xdr:row>
      <xdr:rowOff>266700</xdr:rowOff>
    </xdr:to>
    <xdr:pic>
      <xdr:nvPicPr>
        <xdr:cNvPr id="12" name="Combo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315450" y="3924300"/>
          <a:ext cx="1171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te-net.corp.petrobras.biz/VERSION2/CACHE/HDUD/GQGXSBHI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O253"/>
  <sheetViews>
    <sheetView tabSelected="1" zoomScale="90" zoomScaleNormal="90" zoomScalePageLayoutView="0" workbookViewId="0" topLeftCell="A1">
      <selection activeCell="M12" sqref="M12"/>
    </sheetView>
  </sheetViews>
  <sheetFormatPr defaultColWidth="9.140625" defaultRowHeight="12.75"/>
  <cols>
    <col min="1" max="1" width="8.28125" style="0" customWidth="1"/>
    <col min="2" max="2" width="14.7109375" style="0" customWidth="1"/>
    <col min="3" max="3" width="15.28125" style="0" customWidth="1"/>
    <col min="4" max="4" width="12.57421875" style="0" customWidth="1"/>
    <col min="5" max="5" width="13.7109375" style="0" customWidth="1"/>
    <col min="6" max="6" width="12.28125" style="0" customWidth="1"/>
    <col min="7" max="7" width="10.57421875" style="0" customWidth="1"/>
    <col min="8" max="8" width="11.7109375" style="0" customWidth="1"/>
    <col min="9" max="9" width="11.8515625" style="0" customWidth="1"/>
    <col min="10" max="10" width="18.8515625" style="0" customWidth="1"/>
    <col min="11" max="11" width="8.7109375" style="0" customWidth="1"/>
    <col min="12" max="12" width="6.7109375" style="0" customWidth="1"/>
    <col min="13" max="13" width="4.421875" style="0" bestFit="1" customWidth="1"/>
    <col min="14" max="15" width="10.00390625" style="0" bestFit="1" customWidth="1"/>
    <col min="20" max="20" width="12.140625" style="0" customWidth="1"/>
  </cols>
  <sheetData>
    <row r="1" spans="1:11" ht="45" customHeight="1">
      <c r="A1" s="197" t="s">
        <v>442</v>
      </c>
      <c r="B1" s="197"/>
      <c r="C1" s="197"/>
      <c r="D1" s="197"/>
      <c r="E1" s="197"/>
      <c r="F1" s="197"/>
      <c r="G1" s="197"/>
      <c r="H1" s="197"/>
      <c r="I1" s="197"/>
      <c r="J1" s="52" t="s">
        <v>206</v>
      </c>
      <c r="K1" s="39"/>
    </row>
    <row r="2" spans="1:11" s="27" customFormat="1" ht="14.25" customHeight="1">
      <c r="A2" s="62" t="s">
        <v>216</v>
      </c>
      <c r="B2" s="44"/>
      <c r="C2" s="44"/>
      <c r="D2" s="44"/>
      <c r="G2" s="56"/>
      <c r="H2" s="56"/>
      <c r="I2" s="56"/>
      <c r="J2" s="53"/>
      <c r="K2" s="42"/>
    </row>
    <row r="3" spans="1:11" s="27" customFormat="1" ht="12.75">
      <c r="A3" s="43"/>
      <c r="B3" s="44"/>
      <c r="C3" s="44"/>
      <c r="D3" s="44"/>
      <c r="G3" s="56"/>
      <c r="H3" s="56"/>
      <c r="I3" s="56"/>
      <c r="J3" s="55">
        <v>6.3</v>
      </c>
      <c r="K3" s="46" t="s">
        <v>332</v>
      </c>
    </row>
    <row r="4" spans="1:11" s="27" customFormat="1" ht="16.5" customHeight="1">
      <c r="A4" s="44"/>
      <c r="B4" s="88" t="s">
        <v>217</v>
      </c>
      <c r="C4" s="209" t="s">
        <v>405</v>
      </c>
      <c r="D4" s="209"/>
      <c r="E4" s="209"/>
      <c r="F4" s="209"/>
      <c r="G4" s="209"/>
      <c r="H4" s="56"/>
      <c r="I4" s="56"/>
      <c r="J4" s="55">
        <v>8</v>
      </c>
      <c r="K4" s="46" t="s">
        <v>23</v>
      </c>
    </row>
    <row r="5" spans="1:11" s="27" customFormat="1" ht="16.5" customHeight="1">
      <c r="A5" s="44"/>
      <c r="B5" s="88" t="s">
        <v>220</v>
      </c>
      <c r="C5" s="209" t="s">
        <v>406</v>
      </c>
      <c r="D5" s="209"/>
      <c r="E5" s="209"/>
      <c r="F5" s="209"/>
      <c r="G5" s="209"/>
      <c r="H5" s="56"/>
      <c r="I5" s="56"/>
      <c r="J5" s="55">
        <v>9.5</v>
      </c>
      <c r="K5" s="46"/>
    </row>
    <row r="6" spans="2:11" s="27" customFormat="1" ht="16.5" customHeight="1">
      <c r="B6" s="88" t="s">
        <v>218</v>
      </c>
      <c r="C6" s="209" t="s">
        <v>407</v>
      </c>
      <c r="D6" s="209"/>
      <c r="E6" s="209"/>
      <c r="F6" s="209"/>
      <c r="G6" s="209"/>
      <c r="H6" s="56"/>
      <c r="I6" s="56"/>
      <c r="J6" s="55">
        <v>12.5</v>
      </c>
      <c r="K6" s="46"/>
    </row>
    <row r="7" spans="2:11" s="27" customFormat="1" ht="16.5" customHeight="1">
      <c r="B7" s="88" t="s">
        <v>221</v>
      </c>
      <c r="C7" s="209"/>
      <c r="D7" s="209"/>
      <c r="E7" s="209"/>
      <c r="F7" s="209"/>
      <c r="G7" s="209"/>
      <c r="H7" s="56"/>
      <c r="I7" s="56"/>
      <c r="J7" s="55">
        <v>16</v>
      </c>
      <c r="K7" s="47"/>
    </row>
    <row r="8" spans="2:11" s="27" customFormat="1" ht="16.5" customHeight="1">
      <c r="B8" s="88" t="s">
        <v>219</v>
      </c>
      <c r="C8" s="208">
        <v>39268</v>
      </c>
      <c r="D8" s="209"/>
      <c r="E8" s="209"/>
      <c r="F8" s="209"/>
      <c r="G8" s="209"/>
      <c r="H8" s="56"/>
      <c r="I8" s="56"/>
      <c r="J8" s="55">
        <v>19</v>
      </c>
      <c r="K8" s="47"/>
    </row>
    <row r="9" spans="2:11" s="27" customFormat="1" ht="17.25" customHeight="1">
      <c r="B9" s="48"/>
      <c r="G9" s="56"/>
      <c r="H9" s="56"/>
      <c r="I9" s="56"/>
      <c r="J9" s="55">
        <v>22.2</v>
      </c>
      <c r="K9" s="47"/>
    </row>
    <row r="10" spans="1:11" s="27" customFormat="1" ht="12.75">
      <c r="A10" s="22" t="s">
        <v>229</v>
      </c>
      <c r="J10" s="55">
        <v>25</v>
      </c>
      <c r="K10" s="47"/>
    </row>
    <row r="11" spans="10:11" s="27" customFormat="1" ht="12.75">
      <c r="J11" s="45">
        <v>31.5</v>
      </c>
      <c r="K11" s="47"/>
    </row>
    <row r="12" spans="2:11" s="27" customFormat="1" ht="18" customHeight="1">
      <c r="B12" s="202" t="s">
        <v>397</v>
      </c>
      <c r="C12" s="203"/>
      <c r="D12" s="86">
        <v>2440</v>
      </c>
      <c r="E12" s="43"/>
      <c r="J12" s="45">
        <v>37.5</v>
      </c>
      <c r="K12" s="47"/>
    </row>
    <row r="13" spans="2:11" s="27" customFormat="1" ht="18" customHeight="1">
      <c r="B13" s="202" t="s">
        <v>400</v>
      </c>
      <c r="C13" s="203"/>
      <c r="D13" s="86">
        <v>12.2</v>
      </c>
      <c r="E13" s="43"/>
      <c r="J13" s="45">
        <v>50</v>
      </c>
      <c r="K13" s="47"/>
    </row>
    <row r="14" spans="2:11" s="27" customFormat="1" ht="18" customHeight="1">
      <c r="B14" s="202" t="s">
        <v>398</v>
      </c>
      <c r="C14" s="203"/>
      <c r="D14" s="86">
        <v>93</v>
      </c>
      <c r="E14" s="43"/>
      <c r="J14" s="45">
        <v>63</v>
      </c>
      <c r="K14" s="47"/>
    </row>
    <row r="15" spans="2:11" s="27" customFormat="1" ht="26.25" customHeight="1">
      <c r="B15" s="202" t="s">
        <v>399</v>
      </c>
      <c r="C15" s="203"/>
      <c r="D15" s="86">
        <v>3.2</v>
      </c>
      <c r="E15" s="43"/>
      <c r="J15" s="45">
        <v>75</v>
      </c>
      <c r="K15" s="47"/>
    </row>
    <row r="16" spans="2:11" s="27" customFormat="1" ht="18" customHeight="1">
      <c r="B16" s="202" t="s">
        <v>226</v>
      </c>
      <c r="C16" s="203"/>
      <c r="D16" s="86">
        <v>0.85</v>
      </c>
      <c r="E16" s="43"/>
      <c r="J16" s="45">
        <v>100</v>
      </c>
      <c r="K16" s="47"/>
    </row>
    <row r="17" spans="2:11" s="27" customFormat="1" ht="30.75" customHeight="1">
      <c r="B17" s="202" t="s">
        <v>401</v>
      </c>
      <c r="C17" s="203"/>
      <c r="D17" s="86">
        <v>970.26</v>
      </c>
      <c r="E17" s="43"/>
      <c r="K17" s="47"/>
    </row>
    <row r="18" spans="2:11" s="27" customFormat="1" ht="34.5" customHeight="1">
      <c r="B18" s="202" t="s">
        <v>402</v>
      </c>
      <c r="C18" s="203"/>
      <c r="D18" s="86">
        <v>970.26</v>
      </c>
      <c r="E18" s="43"/>
      <c r="K18" s="47"/>
    </row>
    <row r="19" spans="2:11" s="27" customFormat="1" ht="31.5" customHeight="1">
      <c r="B19" s="200" t="s">
        <v>403</v>
      </c>
      <c r="C19" s="201"/>
      <c r="D19" s="86">
        <v>2109.3</v>
      </c>
      <c r="E19" s="49"/>
      <c r="K19" s="47"/>
    </row>
    <row r="20" spans="2:11" s="27" customFormat="1" ht="18" customHeight="1">
      <c r="B20" s="202" t="s">
        <v>227</v>
      </c>
      <c r="C20" s="203"/>
      <c r="D20" s="86">
        <v>1</v>
      </c>
      <c r="E20" s="43"/>
      <c r="K20" s="47"/>
    </row>
    <row r="21" spans="2:11" s="27" customFormat="1" ht="29.25" customHeight="1">
      <c r="B21" s="202" t="s">
        <v>439</v>
      </c>
      <c r="C21" s="203"/>
      <c r="D21" s="86">
        <v>1475</v>
      </c>
      <c r="E21" s="43"/>
      <c r="K21" s="47"/>
    </row>
    <row r="22" spans="2:11" s="27" customFormat="1" ht="24" customHeight="1">
      <c r="B22" s="202" t="s">
        <v>404</v>
      </c>
      <c r="C22" s="203"/>
      <c r="D22" s="86">
        <v>7315</v>
      </c>
      <c r="E22" s="43"/>
      <c r="K22" s="47"/>
    </row>
    <row r="23" spans="2:11" s="27" customFormat="1" ht="22.5" customHeight="1">
      <c r="B23" s="202" t="s">
        <v>408</v>
      </c>
      <c r="C23" s="203"/>
      <c r="D23" s="86">
        <v>648</v>
      </c>
      <c r="E23" s="43"/>
      <c r="K23" s="47"/>
    </row>
    <row r="24" spans="2:11" s="27" customFormat="1" ht="18" customHeight="1">
      <c r="B24" s="202" t="s">
        <v>20</v>
      </c>
      <c r="C24" s="203"/>
      <c r="D24" s="86" t="s">
        <v>332</v>
      </c>
      <c r="E24" s="43"/>
      <c r="K24" s="47"/>
    </row>
    <row r="25" spans="2:5" s="27" customFormat="1" ht="18" customHeight="1">
      <c r="B25" s="202" t="s">
        <v>21</v>
      </c>
      <c r="C25" s="203"/>
      <c r="D25" s="86" t="s">
        <v>22</v>
      </c>
      <c r="E25" s="43"/>
    </row>
    <row r="26" spans="2:5" s="27" customFormat="1" ht="25.5" customHeight="1">
      <c r="B26" s="202" t="s">
        <v>392</v>
      </c>
      <c r="C26" s="203"/>
      <c r="D26" s="86">
        <v>19.6</v>
      </c>
      <c r="E26" s="43"/>
    </row>
    <row r="27" spans="2:5" s="27" customFormat="1" ht="25.5" customHeight="1">
      <c r="B27" s="202" t="s">
        <v>393</v>
      </c>
      <c r="C27" s="203"/>
      <c r="D27" s="86">
        <v>17.9</v>
      </c>
      <c r="E27" s="43"/>
    </row>
    <row r="28" spans="2:9" s="27" customFormat="1" ht="12.75">
      <c r="B28" s="50" t="s">
        <v>211</v>
      </c>
      <c r="C28" s="51"/>
      <c r="D28" s="51"/>
      <c r="E28" s="51"/>
      <c r="F28" s="51"/>
      <c r="G28" s="51"/>
      <c r="H28" s="51"/>
      <c r="I28" s="51"/>
    </row>
    <row r="29" spans="1:9" s="51" customFormat="1" ht="12.75">
      <c r="A29"/>
      <c r="B29"/>
      <c r="C29"/>
      <c r="D29"/>
      <c r="E29"/>
      <c r="F29"/>
      <c r="G29"/>
      <c r="H29"/>
      <c r="I29"/>
    </row>
    <row r="30" ht="12.75">
      <c r="A30" s="22" t="s">
        <v>230</v>
      </c>
    </row>
    <row r="32" ht="12.75">
      <c r="A32" s="61" t="s">
        <v>231</v>
      </c>
    </row>
    <row r="34" spans="2:4" ht="17.25" customHeight="1">
      <c r="B34" s="198" t="s">
        <v>266</v>
      </c>
      <c r="C34" s="199"/>
      <c r="D34" s="94">
        <f>D20*((D21-D23)/1000)/10</f>
        <v>0.0827</v>
      </c>
    </row>
    <row r="35" spans="2:4" ht="17.25" customHeight="1">
      <c r="B35" s="198" t="s">
        <v>267</v>
      </c>
      <c r="C35" s="199"/>
      <c r="D35" s="94">
        <f>(D21/1000)*D20/10</f>
        <v>0.14750000000000002</v>
      </c>
    </row>
    <row r="36" spans="2:5" ht="19.5" customHeight="1">
      <c r="B36" s="141" t="s">
        <v>394</v>
      </c>
      <c r="C36" s="140"/>
      <c r="D36" s="140"/>
      <c r="E36" s="4"/>
    </row>
    <row r="37" ht="16.5" customHeight="1"/>
    <row r="38" ht="12.75">
      <c r="A38" s="22" t="s">
        <v>232</v>
      </c>
    </row>
    <row r="40" spans="2:6" ht="25.5">
      <c r="B40" s="83"/>
      <c r="C40" s="67" t="s">
        <v>440</v>
      </c>
      <c r="D40" s="67" t="s">
        <v>207</v>
      </c>
      <c r="E40" s="67" t="s">
        <v>1</v>
      </c>
      <c r="F40" s="67" t="s">
        <v>2</v>
      </c>
    </row>
    <row r="41" spans="2:6" ht="18" customHeight="1">
      <c r="B41" s="84" t="s">
        <v>264</v>
      </c>
      <c r="C41" s="148">
        <f>IF(2.5+(0.001*D12+D15)&lt;4.8,4.8,2.5+(0.001*D12+D15))</f>
        <v>8.14</v>
      </c>
      <c r="D41" s="148">
        <f>IF((((D13+D34)*(D12/2+D15))/(D18*D16-0.6*(D13+D34))+D15)&gt;(((D13+D34)*(D12/2+D15))/((2*D18*D16)+(0.4*(D13+D34)))+D15),(((D13+D34)*(D12/2+D15))/(D18*D16-0.6*(D13+D34))+D15),(((D13+D34)*(D12/2+D15))/((2*D18*D16)+(0.4*(D13+D34)))+D15))</f>
        <v>21.58156637112425</v>
      </c>
      <c r="E41" s="148">
        <f>((D13*(D12+(2*D15)))/(2*D18*D16-(0.2*D13)))+D15</f>
        <v>21.32145947606621</v>
      </c>
      <c r="F41" s="148">
        <f>(((D13+D35)*(D12+2*D15))/(2*D18*D16-0.2*(D13+D35)))+D15</f>
        <v>21.5408794014472</v>
      </c>
    </row>
    <row r="42" spans="2:6" ht="27.75" customHeight="1">
      <c r="B42" s="204" t="s">
        <v>9</v>
      </c>
      <c r="C42" s="204"/>
      <c r="D42" s="86">
        <v>22.2</v>
      </c>
      <c r="E42" s="86">
        <v>22.2</v>
      </c>
      <c r="F42" s="86">
        <v>22.2</v>
      </c>
    </row>
    <row r="43" spans="2:6" ht="18" customHeight="1">
      <c r="B43" s="87" t="s">
        <v>208</v>
      </c>
      <c r="C43" s="22"/>
      <c r="D43" s="22"/>
      <c r="E43" s="23"/>
      <c r="F43" s="22"/>
    </row>
    <row r="45" ht="12.75">
      <c r="A45" s="22" t="s">
        <v>233</v>
      </c>
    </row>
    <row r="47" spans="2:9" ht="25.5">
      <c r="B47" s="83"/>
      <c r="C47" s="67" t="s">
        <v>7</v>
      </c>
      <c r="D47" s="67" t="s">
        <v>8</v>
      </c>
      <c r="E47" s="67" t="s">
        <v>3</v>
      </c>
      <c r="F47" s="67" t="s">
        <v>4</v>
      </c>
      <c r="G47" s="67" t="s">
        <v>5</v>
      </c>
      <c r="H47" s="67" t="s">
        <v>6</v>
      </c>
      <c r="I47" s="67" t="s">
        <v>212</v>
      </c>
    </row>
    <row r="48" spans="2:9" ht="20.25" customHeight="1">
      <c r="B48" s="67" t="s">
        <v>10</v>
      </c>
      <c r="C48" s="135">
        <f>D42*D17*D16/((D12/2)+(0.6*D42))</f>
        <v>14.845138487983654</v>
      </c>
      <c r="D48" s="135">
        <f>(D42-D15)*D18*D16/((D12/2+2*D15)+(0.6*(D42-D15)))</f>
        <v>12.65931410567135</v>
      </c>
      <c r="E48" s="135">
        <f>2*E42*D17*D16/((D12*1)+(0.2*E42))</f>
        <v>14.979959581744692</v>
      </c>
      <c r="F48" s="135">
        <f>2*(E42-D15)*D18*D16/((D12+2*D15)+(0.2*(E42-D15)))</f>
        <v>12.790546894131088</v>
      </c>
      <c r="G48" s="135">
        <f>2*F42*D17*D16/((D12*1)+(0.2*F42))</f>
        <v>14.979959581744692</v>
      </c>
      <c r="H48" s="135">
        <f>2*(F42-D15)*D18*D16/((D12+2*D15)+(0.2*(F42-D15)))</f>
        <v>12.790546894131088</v>
      </c>
      <c r="I48" s="135">
        <f>D27*1.019716213</f>
        <v>18.252920212699998</v>
      </c>
    </row>
    <row r="50" ht="12.75" customHeight="1">
      <c r="A50" s="22" t="s">
        <v>234</v>
      </c>
    </row>
    <row r="51" ht="12.75" customHeight="1"/>
    <row r="52" spans="2:11" ht="25.5">
      <c r="B52" s="80"/>
      <c r="C52" s="76" t="s">
        <v>13</v>
      </c>
      <c r="D52" s="81" t="s">
        <v>262</v>
      </c>
      <c r="E52" s="76" t="s">
        <v>263</v>
      </c>
      <c r="F52" s="76" t="s">
        <v>209</v>
      </c>
      <c r="K52" s="1" t="s">
        <v>19</v>
      </c>
    </row>
    <row r="53" spans="2:11" ht="18" customHeight="1">
      <c r="B53" s="82" t="s">
        <v>11</v>
      </c>
      <c r="C53" s="149">
        <f>$F$48</f>
        <v>12.790546894131088</v>
      </c>
      <c r="D53" s="149">
        <v>0</v>
      </c>
      <c r="E53" s="149">
        <f>C53-D53</f>
        <v>12.790546894131088</v>
      </c>
      <c r="F53" s="38" t="str">
        <f>IF(E53&lt;E54,IF(E53&lt;E55,IF(E53&lt;E56,E53," ")," ")," ")</f>
        <v> </v>
      </c>
      <c r="K53" s="1">
        <f>K69-D15</f>
        <v>19</v>
      </c>
    </row>
    <row r="54" spans="2:11" ht="18" customHeight="1">
      <c r="B54" s="82" t="s">
        <v>12</v>
      </c>
      <c r="C54" s="149">
        <f>$H$48</f>
        <v>12.790546894131088</v>
      </c>
      <c r="D54" s="149">
        <f>D35</f>
        <v>0.14750000000000002</v>
      </c>
      <c r="E54" s="149">
        <f>C54-D54</f>
        <v>12.643046894131087</v>
      </c>
      <c r="F54" s="38" t="str">
        <f>IF(E54&lt;E53,IF(E54&lt;E55,IF(E54&lt;E56,E54," ")," ")," ")</f>
        <v> </v>
      </c>
      <c r="K54" s="1">
        <f>K70-D15</f>
        <v>19</v>
      </c>
    </row>
    <row r="55" spans="2:11" ht="18" customHeight="1">
      <c r="B55" s="82" t="s">
        <v>0</v>
      </c>
      <c r="C55" s="149">
        <f>$D$48</f>
        <v>12.65931410567135</v>
      </c>
      <c r="D55" s="149">
        <f>D34</f>
        <v>0.0827</v>
      </c>
      <c r="E55" s="149">
        <f>C55-D55</f>
        <v>12.57661410567135</v>
      </c>
      <c r="F55" s="143">
        <f>IF(E55&lt;E53,IF(E55&lt;E54,IF(E55&lt;E56,E55," ")," ")," ")</f>
        <v>12.57661410567135</v>
      </c>
      <c r="K55" s="1">
        <f>K71-D15</f>
        <v>19</v>
      </c>
    </row>
    <row r="56" spans="2:6" ht="18" customHeight="1">
      <c r="B56" s="82" t="s">
        <v>24</v>
      </c>
      <c r="C56" s="149">
        <f>I48</f>
        <v>18.252920212699998</v>
      </c>
      <c r="D56" s="149" t="s">
        <v>210</v>
      </c>
      <c r="E56" s="149">
        <f>C56</f>
        <v>18.252920212699998</v>
      </c>
      <c r="F56" s="38" t="str">
        <f>IF(E56&lt;E53,IF(E56&lt;E54,IF(E56&lt;E55,E56," ")," ")," ")</f>
        <v> </v>
      </c>
    </row>
    <row r="57" ht="15" customHeight="1"/>
    <row r="58" ht="15" customHeight="1">
      <c r="A58" s="22" t="s">
        <v>235</v>
      </c>
    </row>
    <row r="59" ht="15" customHeight="1"/>
    <row r="60" ht="12.75">
      <c r="A60" s="22" t="s">
        <v>441</v>
      </c>
    </row>
    <row r="61" ht="13.5" thickBot="1"/>
    <row r="62" spans="2:5" ht="13.5" thickBot="1">
      <c r="B62" s="5" t="s">
        <v>15</v>
      </c>
      <c r="C62" s="150">
        <f>IF(F53=" ",IF(F54=" ",IF(F55=" ",1.5*F56,1.5*F55*(D17/D18)),1.5*F54*D17/D18),1.5*F53*D17/D18)</f>
        <v>18.864921158507023</v>
      </c>
      <c r="D62" s="30" t="s">
        <v>213</v>
      </c>
      <c r="E62" s="31" t="str">
        <f>IF(F53=" ",IF(F54=" ",IF(F55=" ",B56,B55),B54),B53)</f>
        <v>CASCO</v>
      </c>
    </row>
    <row r="63" spans="1:9" ht="12.75">
      <c r="A63" s="4"/>
      <c r="B63" s="28"/>
      <c r="C63" s="29"/>
      <c r="D63" s="4"/>
      <c r="E63" s="4"/>
      <c r="F63" s="4"/>
      <c r="G63" s="4"/>
      <c r="H63" s="4"/>
      <c r="I63" s="4"/>
    </row>
    <row r="64" spans="1:9" ht="34.5" customHeight="1">
      <c r="A64" s="4"/>
      <c r="B64" s="205" t="s">
        <v>243</v>
      </c>
      <c r="C64" s="205"/>
      <c r="D64" s="205"/>
      <c r="E64" s="205"/>
      <c r="F64" s="205"/>
      <c r="G64" s="4"/>
      <c r="H64" s="4"/>
      <c r="I64" s="4"/>
    </row>
    <row r="65" ht="12.75">
      <c r="C65" s="3"/>
    </row>
    <row r="66" spans="1:9" ht="12.75">
      <c r="A66" s="22" t="s">
        <v>236</v>
      </c>
      <c r="H66" s="24"/>
      <c r="I66" s="24"/>
    </row>
    <row r="68" spans="2:11" ht="39.75" customHeight="1">
      <c r="B68" s="80"/>
      <c r="C68" s="76" t="s">
        <v>14</v>
      </c>
      <c r="D68" s="81" t="s">
        <v>387</v>
      </c>
      <c r="E68" s="81" t="s">
        <v>388</v>
      </c>
      <c r="F68" s="77" t="s">
        <v>261</v>
      </c>
      <c r="G68" s="77" t="s">
        <v>390</v>
      </c>
      <c r="H68" s="76" t="s">
        <v>260</v>
      </c>
      <c r="I68" s="76" t="s">
        <v>389</v>
      </c>
      <c r="K68" s="1" t="s">
        <v>18</v>
      </c>
    </row>
    <row r="69" spans="1:11" s="4" customFormat="1" ht="18" customHeight="1">
      <c r="A69"/>
      <c r="B69" s="82" t="s">
        <v>11</v>
      </c>
      <c r="C69" s="149">
        <f>IF(E62="FLANGES",0,E48*1.5)</f>
        <v>22.469939372617038</v>
      </c>
      <c r="D69" s="149">
        <f>IF(E62="FLANGES",0,(D23/1000)/10)</f>
        <v>0.0648</v>
      </c>
      <c r="E69" s="149">
        <f>(D12/1000)/10</f>
        <v>0.244</v>
      </c>
      <c r="F69" s="149">
        <f>C69-D69</f>
        <v>22.405139372617036</v>
      </c>
      <c r="G69" s="149">
        <f>C69-E69</f>
        <v>22.225939372617038</v>
      </c>
      <c r="H69" s="151" t="str">
        <f>IF(F69&lt;F70,IF(F69&lt;F71,F69," ")," ")</f>
        <v> </v>
      </c>
      <c r="I69" s="149" t="str">
        <f>IF(G69&lt;G70,IF(G69&lt;G71,G69," ")," ")</f>
        <v> </v>
      </c>
      <c r="K69" s="1">
        <f>E42</f>
        <v>22.2</v>
      </c>
    </row>
    <row r="70" spans="1:11" s="4" customFormat="1" ht="18" customHeight="1">
      <c r="A70"/>
      <c r="B70" s="82" t="s">
        <v>12</v>
      </c>
      <c r="C70" s="149">
        <f>IF(E62="FLANGES",0,G48*1.5)</f>
        <v>22.469939372617038</v>
      </c>
      <c r="D70" s="149">
        <f>IF(E62="FLANGES",0,((2*D23/1000)+D22/1000)/10)</f>
        <v>0.8611000000000001</v>
      </c>
      <c r="E70" s="149">
        <f>(D12/1000)/10</f>
        <v>0.244</v>
      </c>
      <c r="F70" s="149">
        <f>C70-D70</f>
        <v>21.608839372617037</v>
      </c>
      <c r="G70" s="149">
        <f>C70-E70</f>
        <v>22.225939372617038</v>
      </c>
      <c r="H70" s="149" t="str">
        <f>IF(F70&lt;F71,IF(F70&lt;F69,F70," ")," ")</f>
        <v> </v>
      </c>
      <c r="I70" s="149" t="str">
        <f>IF(G70&lt;G71,IF(G70&lt;G69,G70," ")," ")</f>
        <v> </v>
      </c>
      <c r="K70" s="1">
        <f>F42</f>
        <v>22.2</v>
      </c>
    </row>
    <row r="71" spans="2:11" ht="18" customHeight="1">
      <c r="B71" s="82" t="s">
        <v>0</v>
      </c>
      <c r="C71" s="149">
        <f>IF(E62="FLANGES",0,C48*1.5)</f>
        <v>22.26770773197548</v>
      </c>
      <c r="D71" s="149">
        <f>IF(E62="FLANGES",0,((D23/1000)+D22/1000)/10)</f>
        <v>0.7963</v>
      </c>
      <c r="E71" s="149">
        <f>(D12/1000)/10</f>
        <v>0.244</v>
      </c>
      <c r="F71" s="149">
        <f>C71-D71</f>
        <v>21.471407731975482</v>
      </c>
      <c r="G71" s="149">
        <f>C71-E71</f>
        <v>22.02370773197548</v>
      </c>
      <c r="H71" s="151">
        <f>IF(F71&lt;F69,IF(F71&lt;F70,F71," ")," ")</f>
        <v>21.471407731975482</v>
      </c>
      <c r="I71" s="151">
        <f>IF(G71&lt;G69,IF(G71&lt;G70,G71," ")," ")</f>
        <v>22.02370773197548</v>
      </c>
      <c r="K71" s="1">
        <f>D42</f>
        <v>22.2</v>
      </c>
    </row>
    <row r="72" spans="10:12" ht="12.75">
      <c r="J72" s="24"/>
      <c r="K72" s="24"/>
      <c r="L72" s="24"/>
    </row>
    <row r="73" spans="2:6" ht="37.5" customHeight="1">
      <c r="B73" s="165" t="s">
        <v>391</v>
      </c>
      <c r="C73" s="165"/>
      <c r="D73" s="165"/>
      <c r="E73" s="166" t="str">
        <f>IF(IF(H69=" ",IF(H70=" ",H71,H70),H69)&lt;C62,"PTH será PTP pois PTA&lt;PTP"," OK!   PTA&gt;PTP então PTH=PTA")</f>
        <v> OK!   PTA&gt;PTP então PTH=PTA</v>
      </c>
      <c r="F73" s="166"/>
    </row>
    <row r="74" ht="12.75">
      <c r="A74" s="22"/>
    </row>
    <row r="75" ht="12.75">
      <c r="A75" s="22" t="s">
        <v>237</v>
      </c>
    </row>
    <row r="77" spans="1:7" ht="12.75">
      <c r="A77" s="22" t="s">
        <v>238</v>
      </c>
      <c r="B77" s="25"/>
      <c r="C77" s="25"/>
      <c r="D77" s="25"/>
      <c r="E77" s="25"/>
      <c r="F77" s="25"/>
      <c r="G77" s="25"/>
    </row>
    <row r="79" spans="2:6" ht="36">
      <c r="B79" s="1"/>
      <c r="C79" s="76" t="s">
        <v>253</v>
      </c>
      <c r="D79" s="67" t="s">
        <v>17</v>
      </c>
      <c r="E79" s="76" t="s">
        <v>254</v>
      </c>
      <c r="F79" s="77" t="s">
        <v>255</v>
      </c>
    </row>
    <row r="80" spans="2:6" ht="18" customHeight="1">
      <c r="B80" s="35" t="str">
        <f>IF(H69=" ",IF(H70=" ",B71,B70),B69)</f>
        <v>CASCO</v>
      </c>
      <c r="C80" s="152">
        <f>(VLOOKUP(B80,B69:H71,5,FALSE)+VLOOKUP(B80,B69:H71,3,FALSE))</f>
        <v>22.26770773197548</v>
      </c>
      <c r="D80" s="152">
        <f>IF(B80="TAMPO SUP",(C80*((D12*1)+(0.2*E42)))/(2*E42*D16),IF(B80="TAMPO INF",(C80*((D12*1)+(0.2*F42)))/(2*F42*D16),C80*(D12/2+0.6*D42)/(D42*D16)))</f>
        <v>1455.39</v>
      </c>
      <c r="E80" s="152">
        <f>0.8*D19</f>
        <v>1687.4400000000003</v>
      </c>
      <c r="F80" s="8" t="str">
        <f>IF(D80&lt;E80,"OK","REVER")</f>
        <v>OK</v>
      </c>
    </row>
    <row r="82" spans="2:7" ht="30" customHeight="1">
      <c r="B82" s="174" t="s">
        <v>244</v>
      </c>
      <c r="C82" s="175"/>
      <c r="D82" s="175"/>
      <c r="E82" s="175"/>
      <c r="F82" s="175"/>
      <c r="G82" s="175"/>
    </row>
    <row r="83" spans="1:9" ht="12.75">
      <c r="A83" s="4"/>
      <c r="B83" s="32"/>
      <c r="C83" s="6"/>
      <c r="D83" s="6"/>
      <c r="E83" s="6"/>
      <c r="F83" s="6"/>
      <c r="G83" s="6"/>
      <c r="H83" s="4"/>
      <c r="I83" s="4"/>
    </row>
    <row r="84" spans="1:9" ht="41.25" customHeight="1">
      <c r="A84" s="4"/>
      <c r="B84" s="1"/>
      <c r="C84" s="76" t="s">
        <v>256</v>
      </c>
      <c r="D84" s="206" t="s">
        <v>257</v>
      </c>
      <c r="E84" s="206"/>
      <c r="F84" s="76" t="s">
        <v>258</v>
      </c>
      <c r="G84" s="167" t="s">
        <v>395</v>
      </c>
      <c r="H84" s="167"/>
      <c r="I84" s="167"/>
    </row>
    <row r="85" spans="1:9" ht="46.5" customHeight="1">
      <c r="A85" s="4"/>
      <c r="B85" s="35" t="str">
        <f>IF(F80="REVER",B80,"NA")</f>
        <v>NA</v>
      </c>
      <c r="C85" s="34">
        <f>IF(F80="REVER",E80,)</f>
        <v>0</v>
      </c>
      <c r="D85" s="207">
        <f>IF(B80="TAMPO SUP",2*(E42-D15)*C85*D16/((D12*1)+(0.2*(E42-D15))),IF(B80="TAMPO INF",2*(F42-D15)*C85*D16/((D12*1)+(0.2*(F42-D15))),(D42-D15)*C85*D16/((D12/2)+(0.6*(D42-D15)))))</f>
        <v>0</v>
      </c>
      <c r="E85" s="207"/>
      <c r="F85" s="20" t="str">
        <f>IF(F80="REVER",IF(B80="TAMPO SUP",D85-D69,IF(B80="TAMPO INF",D85-D70,D85-D71))," ")</f>
        <v> </v>
      </c>
      <c r="G85" s="168" t="str">
        <f>IF(F85&gt;=(IF(F53=" ",IF(F54=" ",IF(F55=" ",1.5*F56,1.3*F55),1.3*F54),1.3*F53)),"OK!","PTH(LIMITADA A 0,8Sy) &lt; 1,3 X PMA CQ , ADOTAR 1,3 PMACQ")</f>
        <v>OK!</v>
      </c>
      <c r="H85" s="168"/>
      <c r="I85" s="168"/>
    </row>
    <row r="86" spans="1:9" ht="13.5" thickBot="1">
      <c r="A86" s="4"/>
      <c r="B86" s="32"/>
      <c r="C86" s="6"/>
      <c r="D86" s="6"/>
      <c r="E86" s="6"/>
      <c r="F86" s="6"/>
      <c r="G86" s="6"/>
      <c r="H86" s="4"/>
      <c r="I86" s="4"/>
    </row>
    <row r="87" spans="1:9" ht="27" customHeight="1" thickBot="1">
      <c r="A87" s="4"/>
      <c r="B87" s="32"/>
      <c r="C87" s="78" t="s">
        <v>259</v>
      </c>
      <c r="D87" s="153">
        <f>IF(F80="REVER",IF(F85&gt;=(C62*D18)/D17,F85,(C62*D18)/D17),IF(H69=" ",IF(H70=" ",H71,H70),H69))</f>
        <v>21.471407731975482</v>
      </c>
      <c r="E87" s="79" t="s">
        <v>16</v>
      </c>
      <c r="F87" s="6"/>
      <c r="G87" s="6"/>
      <c r="H87" s="4"/>
      <c r="I87" s="4"/>
    </row>
    <row r="88" spans="1:9" ht="12.75">
      <c r="A88" s="4"/>
      <c r="B88" s="32"/>
      <c r="C88" s="6"/>
      <c r="D88" s="6"/>
      <c r="E88" s="6"/>
      <c r="F88" s="6"/>
      <c r="G88" s="6"/>
      <c r="H88" s="4"/>
      <c r="I88" s="4"/>
    </row>
    <row r="89" spans="1:9" ht="24.75" customHeight="1">
      <c r="A89" s="4"/>
      <c r="B89" s="175" t="s">
        <v>245</v>
      </c>
      <c r="C89" s="175"/>
      <c r="D89" s="175"/>
      <c r="E89" s="175"/>
      <c r="F89" s="175"/>
      <c r="G89" s="175"/>
      <c r="H89" s="4"/>
      <c r="I89" s="4"/>
    </row>
    <row r="90" spans="2:7" s="4" customFormat="1" ht="12.75" customHeight="1">
      <c r="B90" s="32"/>
      <c r="C90" s="6"/>
      <c r="D90" s="6"/>
      <c r="E90" s="6"/>
      <c r="F90" s="6"/>
      <c r="G90" s="6"/>
    </row>
    <row r="91" spans="1:9" s="4" customFormat="1" ht="16.5" customHeight="1">
      <c r="A91" s="22" t="s">
        <v>239</v>
      </c>
      <c r="B91" s="24"/>
      <c r="C91" s="24"/>
      <c r="D91" s="24"/>
      <c r="E91" s="24"/>
      <c r="F91" s="24"/>
      <c r="G91" s="24"/>
      <c r="H91"/>
      <c r="I91"/>
    </row>
    <row r="92" spans="1:9" s="4" customFormat="1" ht="13.5" customHeight="1">
      <c r="A92"/>
      <c r="B92"/>
      <c r="C92"/>
      <c r="D92"/>
      <c r="E92"/>
      <c r="F92"/>
      <c r="G92"/>
      <c r="H92"/>
      <c r="I92"/>
    </row>
    <row r="93" spans="1:9" s="4" customFormat="1" ht="12.75" customHeight="1">
      <c r="A93"/>
      <c r="B93" s="61" t="s">
        <v>251</v>
      </c>
      <c r="C93" s="61"/>
      <c r="D93" s="61"/>
      <c r="E93" s="61"/>
      <c r="F93" s="61"/>
      <c r="G93" s="61"/>
      <c r="H93" s="61"/>
      <c r="I93" s="61"/>
    </row>
    <row r="94" spans="1:9" s="4" customFormat="1" ht="12.75" customHeight="1">
      <c r="A94"/>
      <c r="B94" s="61" t="s">
        <v>252</v>
      </c>
      <c r="C94" s="61"/>
      <c r="D94" s="61"/>
      <c r="E94" s="61"/>
      <c r="F94" s="61"/>
      <c r="G94" s="61"/>
      <c r="H94" s="61"/>
      <c r="I94" s="61"/>
    </row>
    <row r="95" spans="1:9" s="4" customFormat="1" ht="12.75" customHeight="1">
      <c r="A95"/>
      <c r="B95"/>
      <c r="C95"/>
      <c r="D95"/>
      <c r="E95"/>
      <c r="F95"/>
      <c r="G95"/>
      <c r="H95"/>
      <c r="I95"/>
    </row>
    <row r="96" spans="1:9" s="4" customFormat="1" ht="33.75" customHeight="1">
      <c r="A96"/>
      <c r="B96" s="67" t="s">
        <v>214</v>
      </c>
      <c r="C96" s="67" t="s">
        <v>215</v>
      </c>
      <c r="D96"/>
      <c r="E96"/>
      <c r="F96"/>
      <c r="G96"/>
      <c r="H96"/>
      <c r="I96"/>
    </row>
    <row r="97" spans="1:9" s="4" customFormat="1" ht="12.75" customHeight="1">
      <c r="A97"/>
      <c r="B97" s="72">
        <f>D87/VLOOKUP(B80,B69:K71,10,FALSE)</f>
        <v>0.9671805284673641</v>
      </c>
      <c r="C97" s="72">
        <f>C62/VLOOKUP(E62,B53:K55,10,FALSE)</f>
        <v>0.9928905872898434</v>
      </c>
      <c r="D97"/>
      <c r="E97"/>
      <c r="F97"/>
      <c r="G97"/>
      <c r="H97"/>
      <c r="I97"/>
    </row>
    <row r="98" spans="1:9" s="4" customFormat="1" ht="12" customHeight="1" thickBot="1">
      <c r="A98" s="26"/>
      <c r="B98" s="41"/>
      <c r="C98" s="41"/>
      <c r="D98" s="26"/>
      <c r="E98" s="26"/>
      <c r="F98" s="26"/>
      <c r="G98" s="26"/>
      <c r="H98" s="26"/>
      <c r="I98" s="26"/>
    </row>
    <row r="99" spans="2:7" ht="28.5" customHeight="1" thickBot="1">
      <c r="B99" s="170" t="str">
        <f>IF(B97&gt;C97,"OK!","DEVE-SE ESCOLHER OUTRA ESPESSURA PARA O COMPONENTE CRÍTICO E RECALCULAR A RELAÇÃO")</f>
        <v>DEVE-SE ESCOLHER OUTRA ESPESSURA PARA O COMPONENTE CRÍTICO E RECALCULAR A RELAÇÃO</v>
      </c>
      <c r="C99" s="171"/>
      <c r="D99" s="171"/>
      <c r="E99" s="171"/>
      <c r="F99" s="171"/>
      <c r="G99" s="172"/>
    </row>
    <row r="100" spans="10:11" ht="12.75">
      <c r="J100" s="33"/>
      <c r="K100" s="33"/>
    </row>
    <row r="101" spans="2:11" ht="12.75">
      <c r="B101" s="73" t="str">
        <f>IF(B99="OK!","NA",B80)</f>
        <v>CASCO</v>
      </c>
      <c r="C101" s="138">
        <v>31.5</v>
      </c>
      <c r="D101" s="67" t="s">
        <v>214</v>
      </c>
      <c r="E101" s="67" t="s">
        <v>215</v>
      </c>
      <c r="J101" s="26"/>
      <c r="K101" s="26"/>
    </row>
    <row r="102" spans="2:11" ht="12.75">
      <c r="B102" s="22"/>
      <c r="C102" s="22"/>
      <c r="D102" s="72">
        <f>IF(B101="NA","",D87/C101)</f>
        <v>0.6816319914912852</v>
      </c>
      <c r="E102" s="75">
        <f>IF(B101="NA","",C62/(C101-D15))</f>
        <v>0.6666049879331103</v>
      </c>
      <c r="F102" s="169" t="str">
        <f>IF(D102&gt;E102,"OK!","ESCOLHA OUTRA ESPESSURA")</f>
        <v>OK!</v>
      </c>
      <c r="G102" s="169"/>
      <c r="H102" s="169"/>
      <c r="J102" s="26"/>
      <c r="K102" s="26"/>
    </row>
    <row r="103" spans="10:11" ht="12.75">
      <c r="J103" s="33"/>
      <c r="K103" s="33"/>
    </row>
    <row r="104" ht="18" customHeight="1">
      <c r="A104" s="22" t="s">
        <v>240</v>
      </c>
    </row>
    <row r="105" ht="17.25" customHeight="1"/>
    <row r="106" spans="1:9" s="26" customFormat="1" ht="27.75" customHeight="1">
      <c r="A106"/>
      <c r="B106" s="214"/>
      <c r="C106" s="173" t="s">
        <v>25</v>
      </c>
      <c r="D106" s="173" t="s">
        <v>26</v>
      </c>
      <c r="E106" s="173" t="s">
        <v>249</v>
      </c>
      <c r="F106" s="173" t="s">
        <v>250</v>
      </c>
      <c r="G106" s="173"/>
      <c r="H106" s="215" t="s">
        <v>27</v>
      </c>
      <c r="I106" s="215"/>
    </row>
    <row r="107" spans="2:9" ht="13.5" customHeight="1">
      <c r="B107" s="214"/>
      <c r="C107" s="173"/>
      <c r="D107" s="173"/>
      <c r="E107" s="173"/>
      <c r="F107" s="67" t="s">
        <v>28</v>
      </c>
      <c r="G107" s="67" t="s">
        <v>29</v>
      </c>
      <c r="H107" s="215"/>
      <c r="I107" s="215"/>
    </row>
    <row r="108" spans="2:9" ht="12.75">
      <c r="B108" s="70" t="s">
        <v>24</v>
      </c>
      <c r="C108" s="71" t="str">
        <f>D24</f>
        <v>150#</v>
      </c>
      <c r="D108" s="71" t="str">
        <f>D25</f>
        <v>1.1</v>
      </c>
      <c r="E108" s="71">
        <f>D26</f>
        <v>19.6</v>
      </c>
      <c r="F108" s="71">
        <f>E108*1.5</f>
        <v>29.400000000000002</v>
      </c>
      <c r="G108" s="66">
        <f>F108*14.50377</f>
        <v>426.410838</v>
      </c>
      <c r="H108" s="217">
        <f>FLOOR(G108,25)+25</f>
        <v>450</v>
      </c>
      <c r="I108" s="217"/>
    </row>
    <row r="110" ht="13.5" thickBot="1"/>
    <row r="111" spans="2:6" ht="13.5" thickBot="1">
      <c r="B111" s="212" t="s">
        <v>248</v>
      </c>
      <c r="C111" s="213"/>
      <c r="D111" s="64" t="s">
        <v>247</v>
      </c>
      <c r="E111" s="154">
        <f>(H108*0.07030696)-D70</f>
        <v>30.777032000000002</v>
      </c>
      <c r="F111" s="65" t="s">
        <v>16</v>
      </c>
    </row>
    <row r="112" spans="1:9" ht="12.75">
      <c r="A112" s="26"/>
      <c r="B112" s="37"/>
      <c r="C112" s="37"/>
      <c r="D112" s="37"/>
      <c r="E112" s="36"/>
      <c r="F112" s="16"/>
      <c r="G112" s="26"/>
      <c r="H112" s="26"/>
      <c r="I112" s="26"/>
    </row>
    <row r="113" spans="1:9" ht="12.75">
      <c r="A113" s="26"/>
      <c r="B113" s="175" t="s">
        <v>246</v>
      </c>
      <c r="C113" s="175"/>
      <c r="D113" s="175"/>
      <c r="E113" s="175"/>
      <c r="F113" s="175"/>
      <c r="G113" s="175"/>
      <c r="H113" s="26"/>
      <c r="I113" s="26"/>
    </row>
    <row r="114" spans="1:9" ht="12.75">
      <c r="A114" s="26"/>
      <c r="B114" s="58"/>
      <c r="C114" s="58"/>
      <c r="D114" s="58"/>
      <c r="E114" s="58"/>
      <c r="F114" s="58"/>
      <c r="G114" s="58"/>
      <c r="H114" s="58"/>
      <c r="I114" s="26"/>
    </row>
    <row r="115" spans="1:9" ht="12.75">
      <c r="A115" s="23" t="s">
        <v>241</v>
      </c>
      <c r="B115" s="58"/>
      <c r="C115" s="58"/>
      <c r="D115" s="58"/>
      <c r="E115" s="58"/>
      <c r="F115" s="58"/>
      <c r="G115" s="58"/>
      <c r="H115" s="58"/>
      <c r="I115" s="26"/>
    </row>
    <row r="116" spans="1:9" ht="13.5" thickBot="1">
      <c r="A116" s="26"/>
      <c r="B116" s="58"/>
      <c r="C116" s="58"/>
      <c r="D116" s="58"/>
      <c r="E116" s="58"/>
      <c r="F116" s="58"/>
      <c r="G116" s="58"/>
      <c r="H116" s="58"/>
      <c r="I116" s="26"/>
    </row>
    <row r="117" spans="1:9" ht="27" customHeight="1" thickBot="1">
      <c r="A117" s="26"/>
      <c r="B117" s="218" t="s">
        <v>223</v>
      </c>
      <c r="C117" s="219"/>
      <c r="D117" s="219"/>
      <c r="E117" s="155">
        <f>C62</f>
        <v>18.864921158507023</v>
      </c>
      <c r="F117" s="59" t="s">
        <v>16</v>
      </c>
      <c r="G117" s="60" t="s">
        <v>225</v>
      </c>
      <c r="H117" s="210" t="str">
        <f>E62</f>
        <v>CASCO</v>
      </c>
      <c r="I117" s="211"/>
    </row>
    <row r="118" spans="1:9" ht="27" customHeight="1" thickBot="1">
      <c r="A118" s="26"/>
      <c r="B118" s="161" t="s">
        <v>224</v>
      </c>
      <c r="C118" s="162"/>
      <c r="D118" s="162"/>
      <c r="E118" s="156">
        <f>IF(D87&lt;E111,D87,E111)</f>
        <v>21.471407731975482</v>
      </c>
      <c r="F118" s="90" t="s">
        <v>16</v>
      </c>
      <c r="G118" s="91" t="s">
        <v>225</v>
      </c>
      <c r="H118" s="163" t="str">
        <f>IF(D87&lt;E111,B80,B108)</f>
        <v>CASCO</v>
      </c>
      <c r="I118" s="164"/>
    </row>
    <row r="119" spans="1:9" ht="32.25" customHeight="1" thickBot="1">
      <c r="A119" s="26"/>
      <c r="B119" s="161" t="s">
        <v>396</v>
      </c>
      <c r="C119" s="162"/>
      <c r="D119" s="162"/>
      <c r="E119" s="156">
        <f>IF(I69=" ",IF(I70=" ",I71,I70),I69)</f>
        <v>22.02370773197548</v>
      </c>
      <c r="F119" s="90" t="s">
        <v>16</v>
      </c>
      <c r="G119" s="91" t="s">
        <v>225</v>
      </c>
      <c r="H119" s="163" t="str">
        <f>IF(I69=" ",IF(I70="",B71,B70),B69)</f>
        <v>TAMPO INF</v>
      </c>
      <c r="I119" s="164"/>
    </row>
    <row r="120" spans="1:9" ht="17.25" customHeight="1">
      <c r="A120" s="24"/>
      <c r="B120" s="93" t="s">
        <v>265</v>
      </c>
      <c r="C120" s="92"/>
      <c r="D120" s="92"/>
      <c r="E120" s="92"/>
      <c r="F120" s="92"/>
      <c r="G120" s="92"/>
      <c r="H120" s="92"/>
      <c r="I120" s="24"/>
    </row>
    <row r="121" spans="1:9" ht="9.75" customHeight="1">
      <c r="A121" s="26"/>
      <c r="B121" s="26"/>
      <c r="C121" s="26"/>
      <c r="D121" s="26"/>
      <c r="E121" s="26"/>
      <c r="F121" s="26"/>
      <c r="G121" s="26"/>
      <c r="H121" s="26"/>
      <c r="I121" s="26"/>
    </row>
    <row r="122" spans="1:9" ht="11.25" customHeight="1">
      <c r="A122" s="23" t="s">
        <v>242</v>
      </c>
      <c r="B122" s="26"/>
      <c r="C122" s="26"/>
      <c r="D122" s="26"/>
      <c r="E122" s="26"/>
      <c r="F122" s="26"/>
      <c r="G122" s="26"/>
      <c r="H122" s="26"/>
      <c r="I122" s="26"/>
    </row>
    <row r="124" spans="2:5" ht="25.5">
      <c r="B124" s="67"/>
      <c r="C124" s="67" t="s">
        <v>382</v>
      </c>
      <c r="D124" s="68" t="s">
        <v>33</v>
      </c>
      <c r="E124" s="68" t="s">
        <v>383</v>
      </c>
    </row>
    <row r="125" spans="2:5" ht="21.75" customHeight="1">
      <c r="B125" s="67" t="s">
        <v>30</v>
      </c>
      <c r="C125" s="95">
        <f>PI()*((D12+D42)/1000)*D22/1000*(D42/1000)*7850</f>
        <v>9860.754837811368</v>
      </c>
      <c r="D125" s="95">
        <f>PI()*(((D12)/1000)^2)*D22/1000*0.25</f>
        <v>34.2045486884863</v>
      </c>
      <c r="E125" s="95">
        <f>C125+D125*1000</f>
        <v>44065.30352629766</v>
      </c>
    </row>
    <row r="126" spans="2:5" ht="29.25" customHeight="1">
      <c r="B126" s="67" t="s">
        <v>32</v>
      </c>
      <c r="C126" s="95">
        <f>((1.18*D12/1000)+(2*50/1000)+(1.54*E42/1000))^2*PI()*0.25*(E42/1000)*7850</f>
        <v>1242.8611748704514</v>
      </c>
      <c r="D126" s="95">
        <f>(0.13*(D12/1000)^3)+(PI()*(D12/1000)^2*0.25*50/1000)</f>
        <v>2.1222792452801524</v>
      </c>
      <c r="E126" s="95">
        <f>C126+D126*1000</f>
        <v>3365.140420150604</v>
      </c>
    </row>
    <row r="127" spans="1:9" s="26" customFormat="1" ht="28.5" customHeight="1">
      <c r="A127"/>
      <c r="B127" s="67" t="s">
        <v>31</v>
      </c>
      <c r="C127" s="95">
        <f>((1.18*D12/1000)+(2*50/1000)+(1.54*F42/1000))^2*PI()*0.25*(F42/1000)*7850</f>
        <v>1242.8611748704514</v>
      </c>
      <c r="D127" s="95">
        <f>(0.13*(D12/1000)^3)+(PI()*(D12/1000)^2*0.25*50/1000)</f>
        <v>2.1222792452801524</v>
      </c>
      <c r="E127" s="95">
        <f>C127+D127*1000</f>
        <v>3365.140420150604</v>
      </c>
      <c r="F127"/>
      <c r="G127"/>
      <c r="H127"/>
      <c r="I127"/>
    </row>
    <row r="128" spans="1:9" s="26" customFormat="1" ht="28.5" customHeight="1">
      <c r="A128"/>
      <c r="B128" s="67" t="s">
        <v>330</v>
      </c>
      <c r="C128" s="95">
        <f>SUM('BOCAIS 1'!E10:J10)+SUM('BOCAIS 2'!E10:J10)</f>
        <v>693.7458906639511</v>
      </c>
      <c r="D128" s="95">
        <f>SUM('BOCAIS 1'!E11:J11)+SUM('BOCAIS 2'!E11:J11)</f>
        <v>26.742470370791395</v>
      </c>
      <c r="E128" s="95">
        <f>C128+D128*1000</f>
        <v>27436.216261455345</v>
      </c>
      <c r="F128"/>
      <c r="G128"/>
      <c r="H128"/>
      <c r="I128"/>
    </row>
    <row r="129" spans="1:9" s="26" customFormat="1" ht="15" customHeight="1">
      <c r="A129"/>
      <c r="B129" s="124"/>
      <c r="C129" s="125"/>
      <c r="D129" s="125"/>
      <c r="E129" s="125"/>
      <c r="F129"/>
      <c r="G129"/>
      <c r="H129"/>
      <c r="I129"/>
    </row>
    <row r="130" spans="1:9" s="26" customFormat="1" ht="24.75" customHeight="1">
      <c r="A130" s="33"/>
      <c r="B130" s="67"/>
      <c r="C130" s="127" t="s">
        <v>337</v>
      </c>
      <c r="D130" s="127" t="s">
        <v>384</v>
      </c>
      <c r="F130" s="33"/>
      <c r="G130" s="33"/>
      <c r="H130" s="33"/>
      <c r="I130" s="33"/>
    </row>
    <row r="131" spans="1:9" s="26" customFormat="1" ht="18.75" customHeight="1">
      <c r="A131"/>
      <c r="B131" s="122" t="s">
        <v>329</v>
      </c>
      <c r="C131" s="89">
        <v>25</v>
      </c>
      <c r="D131" s="139">
        <f>0.25*PI()*((D12+(2*D42)+(2*C131))^2-(D12+(2*D42))^2)*((D22+(2*D22/4))*1000)*0.0000006355</f>
        <v>1374298.0156879793</v>
      </c>
      <c r="E131" s="128"/>
      <c r="F131"/>
      <c r="G131"/>
      <c r="H131"/>
      <c r="I131"/>
    </row>
    <row r="132" spans="1:9" s="26" customFormat="1" ht="18.75" customHeight="1">
      <c r="A132" s="4"/>
      <c r="B132" s="129"/>
      <c r="C132" s="63"/>
      <c r="D132" s="126"/>
      <c r="E132" s="128"/>
      <c r="F132" s="4"/>
      <c r="G132" s="4"/>
      <c r="H132" s="4"/>
      <c r="I132" s="4"/>
    </row>
    <row r="133" spans="1:9" s="26" customFormat="1" ht="16.5" customHeight="1">
      <c r="A133" s="4"/>
      <c r="B133" s="112"/>
      <c r="C133" s="107" t="s">
        <v>336</v>
      </c>
      <c r="D133" s="126"/>
      <c r="E133" s="126"/>
      <c r="F133" s="4"/>
      <c r="G133" s="4"/>
      <c r="H133" s="4"/>
      <c r="I133" s="4"/>
    </row>
    <row r="134" spans="1:9" s="26" customFormat="1" ht="21.75" customHeight="1">
      <c r="A134"/>
      <c r="B134" s="67" t="s">
        <v>364</v>
      </c>
      <c r="C134" s="123"/>
      <c r="D134" s="128"/>
      <c r="E134" s="128"/>
      <c r="F134"/>
      <c r="G134"/>
      <c r="H134"/>
      <c r="I134"/>
    </row>
    <row r="135" spans="1:9" s="26" customFormat="1" ht="13.5" customHeight="1">
      <c r="A135"/>
      <c r="B135" s="63"/>
      <c r="C135" s="128"/>
      <c r="D135" s="128"/>
      <c r="E135" s="128"/>
      <c r="F135"/>
      <c r="G135"/>
      <c r="H135"/>
      <c r="I135"/>
    </row>
    <row r="136" spans="1:9" s="26" customFormat="1" ht="13.5" customHeight="1">
      <c r="A136"/>
      <c r="B136" s="216" t="s">
        <v>373</v>
      </c>
      <c r="C136" s="107" t="s">
        <v>365</v>
      </c>
      <c r="D136" s="136" t="s">
        <v>366</v>
      </c>
      <c r="E136" s="128"/>
      <c r="F136"/>
      <c r="G136"/>
      <c r="H136"/>
      <c r="I136"/>
    </row>
    <row r="137" spans="1:9" s="26" customFormat="1" ht="24" customHeight="1">
      <c r="A137"/>
      <c r="B137" s="216"/>
      <c r="C137" s="107" t="s">
        <v>367</v>
      </c>
      <c r="D137" s="136" t="s">
        <v>368</v>
      </c>
      <c r="E137" s="128"/>
      <c r="F137"/>
      <c r="G137"/>
      <c r="H137"/>
      <c r="I137"/>
    </row>
    <row r="138" spans="1:9" s="26" customFormat="1" ht="23.25" customHeight="1">
      <c r="A138"/>
      <c r="B138" s="216"/>
      <c r="C138" s="107" t="s">
        <v>369</v>
      </c>
      <c r="D138" s="136" t="s">
        <v>370</v>
      </c>
      <c r="E138" s="128"/>
      <c r="F138"/>
      <c r="G138"/>
      <c r="H138"/>
      <c r="I138"/>
    </row>
    <row r="139" spans="1:9" s="26" customFormat="1" ht="15" customHeight="1">
      <c r="A139"/>
      <c r="B139" s="216"/>
      <c r="C139" s="122" t="s">
        <v>371</v>
      </c>
      <c r="D139" s="136" t="s">
        <v>372</v>
      </c>
      <c r="E139" s="128"/>
      <c r="F139"/>
      <c r="G139"/>
      <c r="H139"/>
      <c r="I139"/>
    </row>
    <row r="140" spans="1:9" s="26" customFormat="1" ht="14.25" customHeight="1">
      <c r="A140"/>
      <c r="B140" s="63"/>
      <c r="C140" s="128"/>
      <c r="D140" s="128"/>
      <c r="E140" s="128"/>
      <c r="F140"/>
      <c r="G140"/>
      <c r="H140"/>
      <c r="I140"/>
    </row>
    <row r="141" spans="1:9" s="26" customFormat="1" ht="13.5" customHeight="1">
      <c r="A141"/>
      <c r="D141" s="128"/>
      <c r="E141" s="128"/>
      <c r="F141"/>
      <c r="G141"/>
      <c r="H141"/>
      <c r="I141"/>
    </row>
    <row r="142" spans="1:9" s="26" customFormat="1" ht="39" customHeight="1">
      <c r="A142"/>
      <c r="C142" s="67" t="s">
        <v>382</v>
      </c>
      <c r="D142" s="68" t="s">
        <v>33</v>
      </c>
      <c r="E142" s="68" t="s">
        <v>383</v>
      </c>
      <c r="F142" s="68" t="s">
        <v>385</v>
      </c>
      <c r="G142"/>
      <c r="H142"/>
      <c r="I142"/>
    </row>
    <row r="143" spans="1:9" s="26" customFormat="1" ht="23.25" customHeight="1">
      <c r="A143"/>
      <c r="B143" s="69" t="s">
        <v>34</v>
      </c>
      <c r="C143" s="8">
        <f>SUM(C125:C128)+D131+C134</f>
        <v>1387338.2387661955</v>
      </c>
      <c r="D143" s="8">
        <f>SUM(D125:D127)</f>
        <v>38.44910717904661</v>
      </c>
      <c r="E143" s="8">
        <f>SUM(E125:E127)+D131+C134</f>
        <v>1425093.6000545782</v>
      </c>
      <c r="F143" s="8">
        <f>((PI()*((D12/1000)^2)*D21*0.25+D127)*1000)+C143</f>
        <v>8286481.613775971</v>
      </c>
      <c r="G143"/>
      <c r="H143"/>
      <c r="I143"/>
    </row>
    <row r="144" spans="1:9" s="26" customFormat="1" ht="12.75">
      <c r="A144"/>
      <c r="B144" s="33"/>
      <c r="C144" s="33"/>
      <c r="D144" s="33"/>
      <c r="E144" s="33"/>
      <c r="F144"/>
      <c r="G144"/>
      <c r="H144"/>
      <c r="I144"/>
    </row>
    <row r="145" spans="1:9" s="26" customFormat="1" ht="12.75">
      <c r="A145" s="22" t="s">
        <v>386</v>
      </c>
      <c r="B145"/>
      <c r="C145"/>
      <c r="D145"/>
      <c r="E145"/>
      <c r="F145"/>
      <c r="G145"/>
      <c r="H145"/>
      <c r="I145"/>
    </row>
    <row r="147" spans="1:8" ht="18.75" customHeight="1">
      <c r="A147" s="98" t="s">
        <v>303</v>
      </c>
      <c r="B147" s="98"/>
      <c r="C147" s="98"/>
      <c r="D147" s="98"/>
      <c r="E147" s="98"/>
      <c r="F147" s="98"/>
      <c r="G147" s="98"/>
      <c r="H147" s="98"/>
    </row>
    <row r="148" ht="15.75" customHeight="1"/>
    <row r="149" spans="2:9" ht="35.25" customHeight="1">
      <c r="B149" s="220" t="s">
        <v>284</v>
      </c>
      <c r="C149" s="220"/>
      <c r="D149" s="109">
        <f>30</f>
        <v>30</v>
      </c>
      <c r="E149" s="22"/>
      <c r="I149" s="96"/>
    </row>
    <row r="150" spans="2:6" ht="15.75" customHeight="1">
      <c r="B150" s="220" t="s">
        <v>285</v>
      </c>
      <c r="C150" s="220"/>
      <c r="D150" s="109">
        <f>1</f>
        <v>1</v>
      </c>
      <c r="E150" s="22"/>
      <c r="F150" s="4"/>
    </row>
    <row r="151" spans="2:15" ht="17.25" customHeight="1">
      <c r="B151" s="220" t="s">
        <v>286</v>
      </c>
      <c r="C151" s="220"/>
      <c r="D151" s="109">
        <f>0.76</f>
        <v>0.76</v>
      </c>
      <c r="E151" s="110" t="s">
        <v>269</v>
      </c>
      <c r="G151" s="4"/>
      <c r="H151" s="33"/>
      <c r="I151" s="33"/>
      <c r="J151" s="33"/>
      <c r="K151" s="33"/>
      <c r="L151" s="33"/>
      <c r="M151" s="33"/>
      <c r="N151" s="33"/>
      <c r="O151" s="33"/>
    </row>
    <row r="152" spans="2:7" ht="16.5" customHeight="1">
      <c r="B152" s="220"/>
      <c r="C152" s="220"/>
      <c r="D152" s="109">
        <f>0.83</f>
        <v>0.83</v>
      </c>
      <c r="E152" s="110" t="s">
        <v>270</v>
      </c>
      <c r="G152" s="4"/>
    </row>
    <row r="153" spans="2:7" ht="17.25" customHeight="1">
      <c r="B153" s="220"/>
      <c r="C153" s="220"/>
      <c r="D153" s="109">
        <f>0.88</f>
        <v>0.88</v>
      </c>
      <c r="E153" s="110" t="s">
        <v>271</v>
      </c>
      <c r="G153" s="4"/>
    </row>
    <row r="154" spans="2:7" ht="14.25" customHeight="1">
      <c r="B154" s="220"/>
      <c r="C154" s="220"/>
      <c r="D154" s="109">
        <f>0.91</f>
        <v>0.91</v>
      </c>
      <c r="E154" s="110" t="s">
        <v>272</v>
      </c>
      <c r="G154" s="4"/>
    </row>
    <row r="155" spans="2:7" ht="14.25" customHeight="1">
      <c r="B155" s="220"/>
      <c r="C155" s="220"/>
      <c r="D155" s="109">
        <f>0.96</f>
        <v>0.96</v>
      </c>
      <c r="E155" s="110" t="s">
        <v>273</v>
      </c>
      <c r="G155" s="4"/>
    </row>
    <row r="156" spans="2:7" ht="15" customHeight="1">
      <c r="B156" s="220"/>
      <c r="C156" s="220"/>
      <c r="D156" s="109">
        <v>0.99</v>
      </c>
      <c r="E156" s="110" t="s">
        <v>274</v>
      </c>
      <c r="G156" s="4"/>
    </row>
    <row r="157" spans="2:7" ht="15" customHeight="1">
      <c r="B157" s="220"/>
      <c r="C157" s="220"/>
      <c r="D157" s="109">
        <v>1.02</v>
      </c>
      <c r="E157" s="110" t="s">
        <v>275</v>
      </c>
      <c r="G157" s="4"/>
    </row>
    <row r="158" spans="2:6" ht="15" customHeight="1">
      <c r="B158" s="189" t="s">
        <v>287</v>
      </c>
      <c r="C158" s="189"/>
      <c r="D158" s="109">
        <f>1</f>
        <v>1</v>
      </c>
      <c r="E158" s="100"/>
      <c r="F158" s="4"/>
    </row>
    <row r="159" spans="2:6" ht="12.75">
      <c r="B159" s="99"/>
      <c r="C159" s="4"/>
      <c r="D159" s="4"/>
      <c r="E159" s="4"/>
      <c r="F159" s="4"/>
    </row>
    <row r="160" spans="2:8" ht="21" customHeight="1">
      <c r="B160" s="190" t="s">
        <v>295</v>
      </c>
      <c r="C160" s="191"/>
      <c r="D160" s="191"/>
      <c r="E160" s="191"/>
      <c r="F160" s="191"/>
      <c r="G160" s="191"/>
      <c r="H160" s="192"/>
    </row>
    <row r="161" spans="2:8" ht="14.25" customHeight="1">
      <c r="B161" s="102" t="s">
        <v>288</v>
      </c>
      <c r="C161" s="102" t="s">
        <v>289</v>
      </c>
      <c r="D161" s="102" t="s">
        <v>290</v>
      </c>
      <c r="E161" s="102" t="s">
        <v>291</v>
      </c>
      <c r="F161" s="102" t="s">
        <v>292</v>
      </c>
      <c r="G161" s="102" t="s">
        <v>293</v>
      </c>
      <c r="H161" s="102" t="s">
        <v>294</v>
      </c>
    </row>
    <row r="162" spans="2:8" ht="15" customHeight="1">
      <c r="B162" s="108">
        <f>D149*D150*D151*D158</f>
        <v>22.8</v>
      </c>
      <c r="C162" s="108">
        <f>D149*D150*D152*D158</f>
        <v>24.9</v>
      </c>
      <c r="D162" s="108">
        <f>D149*D150*D153*D158</f>
        <v>26.4</v>
      </c>
      <c r="E162" s="108">
        <f>D149*D150*D154*D158</f>
        <v>27.3</v>
      </c>
      <c r="F162" s="108">
        <f>D149*D150*D155*D158</f>
        <v>28.799999999999997</v>
      </c>
      <c r="G162" s="108">
        <f>D149*D150*D156*D158</f>
        <v>29.7</v>
      </c>
      <c r="H162" s="108">
        <f>D149*D150*D157*D158</f>
        <v>30.6</v>
      </c>
    </row>
    <row r="163" spans="4:6" ht="13.5" thickBot="1">
      <c r="D163" s="4"/>
      <c r="E163" s="4"/>
      <c r="F163" s="4"/>
    </row>
    <row r="164" spans="2:8" ht="21" customHeight="1">
      <c r="B164" s="193" t="s">
        <v>320</v>
      </c>
      <c r="C164" s="194"/>
      <c r="D164" s="194"/>
      <c r="E164" s="194"/>
      <c r="F164" s="194"/>
      <c r="G164" s="194"/>
      <c r="H164" s="195"/>
    </row>
    <row r="165" spans="2:8" ht="17.25" customHeight="1">
      <c r="B165" s="101" t="s">
        <v>296</v>
      </c>
      <c r="C165" s="102" t="s">
        <v>297</v>
      </c>
      <c r="D165" s="102" t="s">
        <v>298</v>
      </c>
      <c r="E165" s="102" t="s">
        <v>299</v>
      </c>
      <c r="F165" s="102" t="s">
        <v>300</v>
      </c>
      <c r="G165" s="102" t="s">
        <v>301</v>
      </c>
      <c r="H165" s="103" t="s">
        <v>302</v>
      </c>
    </row>
    <row r="166" spans="2:8" ht="12.75">
      <c r="B166" s="104">
        <f aca="true" t="shared" si="0" ref="B166:H166">B162^2/(16.3*0.980665)</f>
        <v>32.520814488002834</v>
      </c>
      <c r="C166" s="105">
        <f t="shared" si="0"/>
        <v>38.78737725205185</v>
      </c>
      <c r="D166" s="105">
        <f t="shared" si="0"/>
        <v>43.60131360718385</v>
      </c>
      <c r="E166" s="105">
        <f t="shared" si="0"/>
        <v>46.62480345830185</v>
      </c>
      <c r="F166" s="105">
        <f t="shared" si="0"/>
        <v>51.889166606896474</v>
      </c>
      <c r="G166" s="105">
        <f t="shared" si="0"/>
        <v>55.18291253409206</v>
      </c>
      <c r="H166" s="106">
        <f t="shared" si="0"/>
        <v>58.57800448981674</v>
      </c>
    </row>
    <row r="167" ht="12" customHeight="1"/>
    <row r="168" ht="12.75">
      <c r="L168" s="33"/>
    </row>
    <row r="169" spans="1:12" ht="12.75">
      <c r="A169" s="22" t="s">
        <v>304</v>
      </c>
      <c r="L169" s="115"/>
    </row>
    <row r="170" ht="12.75">
      <c r="L170" s="115"/>
    </row>
    <row r="171" spans="1:12" ht="12.75">
      <c r="A171" s="22" t="s">
        <v>305</v>
      </c>
      <c r="L171" s="115"/>
    </row>
    <row r="172" ht="12.75">
      <c r="L172" s="115"/>
    </row>
    <row r="173" spans="2:12" ht="12.75">
      <c r="B173" s="196"/>
      <c r="C173" s="196"/>
      <c r="L173" s="116"/>
    </row>
    <row r="174" spans="2:12" ht="12.75">
      <c r="B174" s="188" t="s">
        <v>228</v>
      </c>
      <c r="C174" s="188"/>
      <c r="D174" s="71">
        <f>D22/1000</f>
        <v>7.315</v>
      </c>
      <c r="L174" s="115"/>
    </row>
    <row r="175" spans="2:12" ht="15" customHeight="1">
      <c r="B175" s="188" t="s">
        <v>306</v>
      </c>
      <c r="C175" s="188"/>
      <c r="D175" s="74">
        <v>1.525</v>
      </c>
      <c r="L175" s="115"/>
    </row>
    <row r="176" spans="2:12" ht="23.25" customHeight="1">
      <c r="B176" s="188" t="s">
        <v>307</v>
      </c>
      <c r="C176" s="188"/>
      <c r="D176" s="74">
        <v>2.553</v>
      </c>
      <c r="L176" s="33"/>
    </row>
    <row r="177" spans="2:12" ht="14.25" customHeight="1">
      <c r="B177" s="111"/>
      <c r="C177" s="111"/>
      <c r="D177" s="97"/>
      <c r="L177" s="33"/>
    </row>
    <row r="178" spans="2:9" ht="17.25" customHeight="1">
      <c r="B178" s="173" t="s">
        <v>308</v>
      </c>
      <c r="C178" s="173"/>
      <c r="D178" s="173"/>
      <c r="E178" s="173"/>
      <c r="F178" s="173"/>
      <c r="G178" s="173"/>
      <c r="H178" s="173"/>
      <c r="I178" s="173"/>
    </row>
    <row r="179" spans="2:9" ht="15.75" customHeight="1">
      <c r="B179" s="67" t="s">
        <v>309</v>
      </c>
      <c r="C179" s="114" t="s">
        <v>313</v>
      </c>
      <c r="D179" s="114" t="s">
        <v>314</v>
      </c>
      <c r="E179" s="114" t="s">
        <v>315</v>
      </c>
      <c r="F179" s="114" t="s">
        <v>316</v>
      </c>
      <c r="G179" s="114" t="s">
        <v>317</v>
      </c>
      <c r="H179" s="114" t="s">
        <v>318</v>
      </c>
      <c r="I179" s="114" t="s">
        <v>319</v>
      </c>
    </row>
    <row r="180" spans="2:9" ht="14.25" customHeight="1">
      <c r="B180" s="67" t="s">
        <v>310</v>
      </c>
      <c r="C180" s="89"/>
      <c r="D180" s="74">
        <v>2</v>
      </c>
      <c r="E180" s="113"/>
      <c r="F180" s="113"/>
      <c r="G180" s="113"/>
      <c r="H180" s="113"/>
      <c r="I180" s="113"/>
    </row>
    <row r="181" spans="2:9" ht="14.25" customHeight="1">
      <c r="B181" s="173" t="s">
        <v>311</v>
      </c>
      <c r="C181" s="173"/>
      <c r="D181" s="173"/>
      <c r="E181" s="173"/>
      <c r="F181" s="173"/>
      <c r="G181" s="173"/>
      <c r="H181" s="173"/>
      <c r="I181" s="173"/>
    </row>
    <row r="182" spans="2:9" ht="14.25" customHeight="1">
      <c r="B182" s="67" t="s">
        <v>309</v>
      </c>
      <c r="C182" s="114" t="s">
        <v>313</v>
      </c>
      <c r="D182" s="114" t="s">
        <v>314</v>
      </c>
      <c r="E182" s="114" t="s">
        <v>315</v>
      </c>
      <c r="F182" s="114" t="s">
        <v>316</v>
      </c>
      <c r="G182" s="114" t="s">
        <v>317</v>
      </c>
      <c r="H182" s="114" t="s">
        <v>318</v>
      </c>
      <c r="I182" s="114" t="s">
        <v>319</v>
      </c>
    </row>
    <row r="183" spans="2:9" ht="14.25" customHeight="1">
      <c r="B183" s="67" t="s">
        <v>310</v>
      </c>
      <c r="C183" s="89">
        <v>1</v>
      </c>
      <c r="D183" s="74">
        <v>1</v>
      </c>
      <c r="E183" s="113"/>
      <c r="F183" s="113"/>
      <c r="G183" s="113"/>
      <c r="H183" s="113"/>
      <c r="I183" s="113"/>
    </row>
    <row r="184" spans="2:9" ht="12.75" customHeight="1">
      <c r="B184" s="67" t="s">
        <v>312</v>
      </c>
      <c r="C184" s="89">
        <v>5</v>
      </c>
      <c r="D184" s="74">
        <v>4</v>
      </c>
      <c r="E184" s="113"/>
      <c r="F184" s="113"/>
      <c r="G184" s="113"/>
      <c r="H184" s="113"/>
      <c r="I184" s="113"/>
    </row>
    <row r="185" spans="2:9" s="4" customFormat="1" ht="12.75" customHeight="1">
      <c r="B185" s="63"/>
      <c r="C185" s="63"/>
      <c r="D185" s="97"/>
      <c r="E185" s="26"/>
      <c r="F185" s="26"/>
      <c r="G185" s="26"/>
      <c r="H185" s="26"/>
      <c r="I185" s="26"/>
    </row>
    <row r="187" spans="2:15" ht="38.25" customHeight="1">
      <c r="B187" s="2"/>
      <c r="C187" s="67" t="s">
        <v>322</v>
      </c>
      <c r="D187" s="67" t="s">
        <v>323</v>
      </c>
      <c r="E187" s="67" t="s">
        <v>324</v>
      </c>
      <c r="F187" s="107" t="s">
        <v>325</v>
      </c>
      <c r="G187" s="112" t="s">
        <v>326</v>
      </c>
      <c r="H187" s="107" t="s">
        <v>327</v>
      </c>
      <c r="M187" s="54"/>
      <c r="N187" s="54">
        <f>D174+D175</f>
        <v>8.84</v>
      </c>
      <c r="O187" s="54" t="s">
        <v>283</v>
      </c>
    </row>
    <row r="188" spans="2:15" ht="12.75">
      <c r="B188" s="114" t="s">
        <v>313</v>
      </c>
      <c r="C188" s="7">
        <f>$D$176*(N187-O188)</f>
        <v>12.765</v>
      </c>
      <c r="D188" s="144">
        <f>C180*1+(C184*0.2*C183)</f>
        <v>1</v>
      </c>
      <c r="E188" s="34">
        <f>B166</f>
        <v>32.520814488002834</v>
      </c>
      <c r="F188" s="20">
        <f>E188*(C188+D188)</f>
        <v>447.649011427359</v>
      </c>
      <c r="G188" s="95">
        <f>F188*((N187-O188)/2)</f>
        <v>1119.1225285683977</v>
      </c>
      <c r="H188" s="95">
        <f>F188*((D174-O188)/2)</f>
        <v>777.7901573550364</v>
      </c>
      <c r="M188" s="54" t="s">
        <v>276</v>
      </c>
      <c r="N188" s="54">
        <f>IF(N187&lt;=5,N187,N187-5)</f>
        <v>3.84</v>
      </c>
      <c r="O188" s="85">
        <f>IF(N188=N187,0,N188)</f>
        <v>3.84</v>
      </c>
    </row>
    <row r="189" spans="2:15" ht="12.75">
      <c r="B189" s="114" t="s">
        <v>314</v>
      </c>
      <c r="C189" s="7">
        <f aca="true" t="shared" si="1" ref="C189:C194">$D$176*(O188-O189)</f>
        <v>9.803519999999999</v>
      </c>
      <c r="D189" s="7">
        <f>D180*1+(D183*0.2*D184)</f>
        <v>2.8</v>
      </c>
      <c r="E189" s="34">
        <f>C166</f>
        <v>38.78737725205185</v>
      </c>
      <c r="F189" s="20">
        <f aca="true" t="shared" si="2" ref="F189:F194">E189*(C189+D189)</f>
        <v>488.8574849437805</v>
      </c>
      <c r="G189" s="95">
        <f>IF(O188-O189=5,7.5*F189,((O188/2)+5)*F189)</f>
        <v>3382.893795810961</v>
      </c>
      <c r="H189" s="95">
        <f>IF(O188-O189=5,(7.5-D175)*F189,((O188/2)+(5-D175))*F189)</f>
        <v>2637.3861312716954</v>
      </c>
      <c r="M189" s="54" t="s">
        <v>277</v>
      </c>
      <c r="N189" s="54">
        <f>IF(N188&lt;=5,N188,N188-5)</f>
        <v>3.84</v>
      </c>
      <c r="O189" s="85">
        <f aca="true" t="shared" si="3" ref="O189:O194">IF(N189=N188,0,N189)</f>
        <v>0</v>
      </c>
    </row>
    <row r="190" spans="2:15" ht="12.75">
      <c r="B190" s="114" t="s">
        <v>315</v>
      </c>
      <c r="C190" s="7">
        <f t="shared" si="1"/>
        <v>0</v>
      </c>
      <c r="D190" s="7">
        <f>E180*1+(E183*E184*0.2)</f>
        <v>0</v>
      </c>
      <c r="E190" s="34">
        <f>D166</f>
        <v>43.60131360718385</v>
      </c>
      <c r="F190" s="20">
        <f t="shared" si="2"/>
        <v>0</v>
      </c>
      <c r="G190" s="95">
        <f>IF(O189-O190=5,12.5*F190,((O189/2)+10)*F190)</f>
        <v>0</v>
      </c>
      <c r="H190" s="95">
        <f>IF(O189-O190=5,(12.5-D175)*F190,((O189/2)+(10-D175))*F190)</f>
        <v>0</v>
      </c>
      <c r="M190" s="54" t="s">
        <v>278</v>
      </c>
      <c r="N190" s="54">
        <f>IF(N189&lt;=5,N189,N189-5)</f>
        <v>3.84</v>
      </c>
      <c r="O190" s="85">
        <f t="shared" si="3"/>
        <v>0</v>
      </c>
    </row>
    <row r="191" spans="2:15" ht="12.75">
      <c r="B191" s="114" t="s">
        <v>316</v>
      </c>
      <c r="C191" s="7">
        <f t="shared" si="1"/>
        <v>0</v>
      </c>
      <c r="D191" s="7">
        <f>F180*1+(F183*F184*0.2)</f>
        <v>0</v>
      </c>
      <c r="E191" s="34">
        <f>E166</f>
        <v>46.62480345830185</v>
      </c>
      <c r="F191" s="20">
        <f t="shared" si="2"/>
        <v>0</v>
      </c>
      <c r="G191" s="95">
        <f>IF(O190-O191=5,17.5*F191,((O190/2)+15)*F191)</f>
        <v>0</v>
      </c>
      <c r="H191" s="95">
        <f>IF(O190-O191=5,(17.5-D175)*F191,((O190/2)+(15-D175))*F191)</f>
        <v>0</v>
      </c>
      <c r="M191" s="54" t="s">
        <v>279</v>
      </c>
      <c r="N191" s="54">
        <f>IF(N190&lt;=5,N190,N190-5)</f>
        <v>3.84</v>
      </c>
      <c r="O191" s="85">
        <f t="shared" si="3"/>
        <v>0</v>
      </c>
    </row>
    <row r="192" spans="2:15" ht="12.75">
      <c r="B192" s="114" t="s">
        <v>317</v>
      </c>
      <c r="C192" s="7">
        <f t="shared" si="1"/>
        <v>0</v>
      </c>
      <c r="D192" s="7">
        <f>G180*1+(G183*G184*0.2)</f>
        <v>0</v>
      </c>
      <c r="E192" s="34">
        <f>F166</f>
        <v>51.889166606896474</v>
      </c>
      <c r="F192" s="20">
        <f t="shared" si="2"/>
        <v>0</v>
      </c>
      <c r="G192" s="95">
        <f>IF(O191-O192=10,25*F192,((O191/2)+20)*F192)</f>
        <v>0</v>
      </c>
      <c r="H192" s="95">
        <f>IF(O191-O192=10,(25-D175)*F192,((O191/2)+(20-D175))*F192)</f>
        <v>0</v>
      </c>
      <c r="M192" s="54" t="s">
        <v>280</v>
      </c>
      <c r="N192" s="54">
        <f>IF(N191&lt;=10,N191,N191-10)</f>
        <v>3.84</v>
      </c>
      <c r="O192" s="85">
        <f t="shared" si="3"/>
        <v>0</v>
      </c>
    </row>
    <row r="193" spans="2:15" ht="12.75">
      <c r="B193" s="114" t="s">
        <v>318</v>
      </c>
      <c r="C193" s="7">
        <f t="shared" si="1"/>
        <v>0</v>
      </c>
      <c r="D193" s="7">
        <f>H180*1+(H183*H184*0.2)</f>
        <v>0</v>
      </c>
      <c r="E193" s="34">
        <f>G166</f>
        <v>55.18291253409206</v>
      </c>
      <c r="F193" s="20">
        <f t="shared" si="2"/>
        <v>0</v>
      </c>
      <c r="G193" s="95">
        <f>IF(O192-O193=10,35*F193,((O192/2)+30)*F193)</f>
        <v>0</v>
      </c>
      <c r="H193" s="95">
        <f>IF(O192-O193=10,(35-D175)*F193,((O192/2)+(30-D175))*F193)</f>
        <v>0</v>
      </c>
      <c r="M193" s="54" t="s">
        <v>281</v>
      </c>
      <c r="N193" s="54">
        <f>IF(N192&lt;=10,N192,N192-10)</f>
        <v>3.84</v>
      </c>
      <c r="O193" s="85">
        <f t="shared" si="3"/>
        <v>0</v>
      </c>
    </row>
    <row r="194" spans="2:15" ht="13.5" thickBot="1">
      <c r="B194" s="114" t="s">
        <v>319</v>
      </c>
      <c r="C194" s="7">
        <f t="shared" si="1"/>
        <v>0</v>
      </c>
      <c r="D194" s="7">
        <f>I180*1+(I183*I184*0.2)</f>
        <v>0</v>
      </c>
      <c r="E194" s="34">
        <f>H166</f>
        <v>58.57800448981674</v>
      </c>
      <c r="F194" s="117">
        <f t="shared" si="2"/>
        <v>0</v>
      </c>
      <c r="G194" s="118">
        <f>IF(O193-O194=10,45*F194,((O193/2)+40)*F194)</f>
        <v>0</v>
      </c>
      <c r="H194" s="118">
        <f>IF(O193-O194=10,(45-D175)*F194,((O193/2)+(40-D175))*F194)</f>
        <v>0</v>
      </c>
      <c r="M194" s="54" t="s">
        <v>282</v>
      </c>
      <c r="N194" s="54">
        <f>IF(N193&lt;=10,N193,N193-10)</f>
        <v>3.84</v>
      </c>
      <c r="O194" s="85">
        <f t="shared" si="3"/>
        <v>0</v>
      </c>
    </row>
    <row r="195" spans="6:8" ht="19.5" customHeight="1" thickBot="1">
      <c r="F195" s="119" t="s">
        <v>321</v>
      </c>
      <c r="G195" s="120">
        <f>SUM(G188:G194)</f>
        <v>4502.016324379359</v>
      </c>
      <c r="H195" s="121">
        <f>SUM(H188:H194)</f>
        <v>3415.1762886267315</v>
      </c>
    </row>
    <row r="198" ht="12.75">
      <c r="A198" s="22" t="s">
        <v>328</v>
      </c>
    </row>
    <row r="200" spans="2:3" ht="12.75">
      <c r="B200" s="2" t="s">
        <v>340</v>
      </c>
      <c r="C200" s="40">
        <v>2475</v>
      </c>
    </row>
    <row r="201" spans="2:3" ht="12.75">
      <c r="B201" s="2" t="s">
        <v>341</v>
      </c>
      <c r="C201" s="40">
        <v>12.5</v>
      </c>
    </row>
    <row r="203" ht="12.75">
      <c r="A203" s="22" t="s">
        <v>352</v>
      </c>
    </row>
    <row r="205" spans="2:6" ht="28.5" customHeight="1">
      <c r="B205" s="187"/>
      <c r="C205" s="187"/>
      <c r="D205" s="2" t="s">
        <v>345</v>
      </c>
      <c r="E205" s="2" t="s">
        <v>346</v>
      </c>
      <c r="F205" s="2" t="s">
        <v>347</v>
      </c>
    </row>
    <row r="206" spans="2:6" ht="30.75" customHeight="1">
      <c r="B206" s="181" t="s">
        <v>338</v>
      </c>
      <c r="C206" s="181"/>
      <c r="D206" s="130">
        <f>(4*G195/(PI()*(C200/1000)^2*(C201/1000)))*0.0001</f>
        <v>7.48611965667901</v>
      </c>
      <c r="E206" s="130">
        <f>(4*G195/(PI()*(C200/1000)^2*(C201/1000)))*0.0001</f>
        <v>7.48611965667901</v>
      </c>
      <c r="F206" s="130">
        <f>(4*G195/(PI()*(C200/1000)^2*(C201/1000)))*0.0001</f>
        <v>7.48611965667901</v>
      </c>
    </row>
    <row r="207" spans="2:6" ht="33.75" customHeight="1" thickBot="1">
      <c r="B207" s="182" t="s">
        <v>342</v>
      </c>
      <c r="C207" s="182"/>
      <c r="D207" s="131">
        <f>(C143/(PI()*(C200/1000)*(C201/1000)))*0.0001</f>
        <v>1427.4051777942248</v>
      </c>
      <c r="E207" s="131">
        <f>(E143/(PI()*(C200/1000)*(C201/1000)))*0.0001</f>
        <v>1466.2509305361498</v>
      </c>
      <c r="F207" s="131">
        <f>(F143/(PI()*(C200/1000)*(C201/1000)))*0.0001</f>
        <v>8525.798850408415</v>
      </c>
    </row>
    <row r="208" spans="2:6" ht="26.25" customHeight="1" thickBot="1">
      <c r="B208" s="183" t="s">
        <v>343</v>
      </c>
      <c r="C208" s="184"/>
      <c r="D208" s="132">
        <f>D206-D207</f>
        <v>-1419.9190581375458</v>
      </c>
      <c r="E208" s="132">
        <f>E206-E207</f>
        <v>-1458.7648108794708</v>
      </c>
      <c r="F208" s="133">
        <f>F206-F207</f>
        <v>-8518.312730751735</v>
      </c>
    </row>
    <row r="209" spans="2:6" ht="27.75" customHeight="1" thickBot="1">
      <c r="B209" s="185" t="s">
        <v>344</v>
      </c>
      <c r="C209" s="186"/>
      <c r="D209" s="134">
        <f>-D206-D207</f>
        <v>-1434.8912974509037</v>
      </c>
      <c r="E209" s="134">
        <f>-E206-E207</f>
        <v>-1473.7370501928287</v>
      </c>
      <c r="F209" s="134">
        <f>-F206-F207</f>
        <v>-8533.284970065095</v>
      </c>
    </row>
    <row r="211" ht="12.75">
      <c r="A211" s="22" t="s">
        <v>353</v>
      </c>
    </row>
    <row r="213" spans="2:6" ht="25.5">
      <c r="B213" s="187"/>
      <c r="C213" s="187"/>
      <c r="D213" s="2" t="s">
        <v>345</v>
      </c>
      <c r="E213" s="2" t="s">
        <v>346</v>
      </c>
      <c r="F213" s="2" t="s">
        <v>347</v>
      </c>
    </row>
    <row r="214" spans="2:6" ht="25.5" customHeight="1">
      <c r="B214" s="181" t="s">
        <v>339</v>
      </c>
      <c r="C214" s="181"/>
      <c r="D214" s="108"/>
      <c r="E214" s="130">
        <f>C62*((D12/2)-(0.4*(D42-D15)))/(2*(D42-D15))</f>
        <v>601.890274015103</v>
      </c>
      <c r="F214" s="108">
        <f>D13*((D12/2)-(0.4*(D42-D15)))/(2*(D42-D15))</f>
        <v>389.2442105263158</v>
      </c>
    </row>
    <row r="215" spans="2:6" ht="23.25" customHeight="1">
      <c r="B215" s="181" t="s">
        <v>350</v>
      </c>
      <c r="C215" s="181"/>
      <c r="D215" s="130">
        <f>(4*H195/(PI()*(D12/1000)^2*(D42/1000)))*0.0001</f>
        <v>3.289960002186142</v>
      </c>
      <c r="E215" s="130">
        <f>(4*H195/(PI()*(D12/1000)^2*(D42/1000)))*0.0001</f>
        <v>3.289960002186142</v>
      </c>
      <c r="F215" s="130">
        <f>(4*H195/(PI()*(D12/1000)^2*(D42/1000)))*0.0001</f>
        <v>3.289960002186142</v>
      </c>
    </row>
    <row r="216" spans="2:6" ht="24.75" customHeight="1" thickBot="1">
      <c r="B216" s="182" t="s">
        <v>351</v>
      </c>
      <c r="C216" s="182"/>
      <c r="D216" s="131">
        <f>(C143/(PI()*(D12/1000)*(D42/1000)))*0.0001</f>
        <v>815.2478896767248</v>
      </c>
      <c r="E216" s="131">
        <f>(E143/(PI()*(D12/1000)*(C201/1000)))*0.0001</f>
        <v>1487.2832184741683</v>
      </c>
      <c r="F216" s="131">
        <f>(F143/(PI()*(D12/1000)*(D42/1000)))*0.0001</f>
        <v>4869.422942226229</v>
      </c>
    </row>
    <row r="217" spans="2:6" ht="18.75" customHeight="1" thickBot="1">
      <c r="B217" s="183" t="s">
        <v>348</v>
      </c>
      <c r="C217" s="184"/>
      <c r="D217" s="132">
        <f>IF(D215-D216&lt;0,-1*(D215-D216),D215-D216)</f>
        <v>811.9579296745386</v>
      </c>
      <c r="E217" s="132">
        <f>E214+E215-E216</f>
        <v>-882.1029844568791</v>
      </c>
      <c r="F217" s="133">
        <f>F214+F215-F216</f>
        <v>-4476.888771697727</v>
      </c>
    </row>
    <row r="218" spans="2:6" ht="24" customHeight="1" thickBot="1">
      <c r="B218" s="185" t="s">
        <v>349</v>
      </c>
      <c r="C218" s="186"/>
      <c r="D218" s="134">
        <f>IF(-D215-D216&lt;0,-1*(-D215-D216),-D215-D216)</f>
        <v>818.5378496789109</v>
      </c>
      <c r="E218" s="134">
        <f>E214-E215-E216</f>
        <v>-888.6829044612514</v>
      </c>
      <c r="F218" s="134">
        <f>F214-F215-F216</f>
        <v>-4483.468691702099</v>
      </c>
    </row>
    <row r="221" ht="12.75">
      <c r="A221" s="22" t="s">
        <v>375</v>
      </c>
    </row>
    <row r="223" ht="12.75">
      <c r="B223" t="s">
        <v>354</v>
      </c>
    </row>
    <row r="225" ht="12.75">
      <c r="B225" t="s">
        <v>355</v>
      </c>
    </row>
    <row r="227" spans="2:3" ht="12.75">
      <c r="B227" s="102" t="s">
        <v>356</v>
      </c>
      <c r="C227" s="108">
        <f>D18</f>
        <v>970.26</v>
      </c>
    </row>
    <row r="229" ht="12.75">
      <c r="B229" t="s">
        <v>360</v>
      </c>
    </row>
    <row r="231" spans="2:3" ht="38.25">
      <c r="B231" s="67" t="s">
        <v>359</v>
      </c>
      <c r="C231" s="69">
        <f>(D12+(2*D42))/2</f>
        <v>1242.2</v>
      </c>
    </row>
    <row r="232" spans="2:3" ht="38.25" customHeight="1">
      <c r="B232" s="67" t="s">
        <v>357</v>
      </c>
      <c r="C232" s="95">
        <f>D41</f>
        <v>21.58156637112425</v>
      </c>
    </row>
    <row r="233" spans="2:3" ht="20.25" customHeight="1">
      <c r="B233" s="67" t="s">
        <v>358</v>
      </c>
      <c r="C233" s="135">
        <f>0.125/(C231/C232)</f>
        <v>0.002171708095629151</v>
      </c>
    </row>
    <row r="235" spans="2:6" ht="24" customHeight="1">
      <c r="B235" s="175" t="s">
        <v>361</v>
      </c>
      <c r="C235" s="175"/>
      <c r="D235" s="175"/>
      <c r="E235" s="175"/>
      <c r="F235" s="175"/>
    </row>
    <row r="237" spans="2:3" ht="15" customHeight="1">
      <c r="B237" s="2" t="s">
        <v>362</v>
      </c>
      <c r="C237" s="89">
        <v>12800</v>
      </c>
    </row>
    <row r="238" spans="2:3" ht="13.5" customHeight="1">
      <c r="B238" s="2" t="s">
        <v>363</v>
      </c>
      <c r="C238" s="142">
        <f>C237*0.070307</f>
        <v>899.9295999999999</v>
      </c>
    </row>
    <row r="240" ht="12.75">
      <c r="B240" t="s">
        <v>420</v>
      </c>
    </row>
    <row r="242" spans="2:3" ht="19.5" customHeight="1">
      <c r="B242" s="2" t="s">
        <v>374</v>
      </c>
      <c r="C242" s="35">
        <f>IF(C227&gt;C238,C238,C227)</f>
        <v>899.9295999999999</v>
      </c>
    </row>
    <row r="245" ht="12.75">
      <c r="A245" t="s">
        <v>376</v>
      </c>
    </row>
    <row r="247" spans="2:6" ht="28.5" customHeight="1">
      <c r="B247" s="176" t="s">
        <v>377</v>
      </c>
      <c r="C247" s="177"/>
      <c r="D247" s="177"/>
      <c r="E247" s="177"/>
      <c r="F247" s="178"/>
    </row>
    <row r="249" spans="2:3" ht="24.75" customHeight="1">
      <c r="B249" s="179" t="str">
        <f>IF(C242&gt;D217,IF(C242&gt;D218,IF(C242&gt;E217,IF(C242&gt;E218,IF(C242&gt;F217,IF(C242&gt;F218,"OK! TLA&gt;TTG","REVER CÁLCULO"),"REVER CÁLCULO"),"REVER CÁLCULO"),"REVER CÁLCULO"),"REVER CÁLCULO"),"REVER CÁLCULO")</f>
        <v>OK! TLA&gt;TTG</v>
      </c>
      <c r="C249" s="180"/>
    </row>
    <row r="251" spans="2:6" ht="30" customHeight="1">
      <c r="B251" s="176" t="s">
        <v>378</v>
      </c>
      <c r="C251" s="177"/>
      <c r="D251" s="177"/>
      <c r="E251" s="177"/>
      <c r="F251" s="178"/>
    </row>
    <row r="253" spans="2:3" ht="21" customHeight="1">
      <c r="B253" s="179" t="str">
        <f>IF(C242&gt;D208,IF(C242&gt;D209,IF(C242&gt;E208,IF(C242&gt;E209,IF(C242&gt;F208,IF(C242&gt;F209,"OK! TLA&gt;TBASE","REVER CÁLCULO"),"REVER CÁLCULO"),"REVER CÁLCULO"),"REVER CÁLCULO"),"REVER CÁLCULO"),"REVER CÁLCULO")</f>
        <v>OK! TLA&gt;TBASE</v>
      </c>
      <c r="C253" s="180"/>
    </row>
  </sheetData>
  <sheetProtection/>
  <mergeCells count="80">
    <mergeCell ref="B151:C157"/>
    <mergeCell ref="B176:C176"/>
    <mergeCell ref="B175:C175"/>
    <mergeCell ref="C4:G4"/>
    <mergeCell ref="C5:G5"/>
    <mergeCell ref="C6:G6"/>
    <mergeCell ref="C7:G7"/>
    <mergeCell ref="B235:F235"/>
    <mergeCell ref="B136:B139"/>
    <mergeCell ref="B117:D117"/>
    <mergeCell ref="B118:D118"/>
    <mergeCell ref="B149:C149"/>
    <mergeCell ref="B150:C150"/>
    <mergeCell ref="H117:I117"/>
    <mergeCell ref="H118:I118"/>
    <mergeCell ref="B111:C111"/>
    <mergeCell ref="B113:G113"/>
    <mergeCell ref="C106:C107"/>
    <mergeCell ref="D106:D107"/>
    <mergeCell ref="E106:E107"/>
    <mergeCell ref="B106:B107"/>
    <mergeCell ref="H106:I107"/>
    <mergeCell ref="H108:I108"/>
    <mergeCell ref="B89:G89"/>
    <mergeCell ref="B42:C42"/>
    <mergeCell ref="B64:F64"/>
    <mergeCell ref="D84:E84"/>
    <mergeCell ref="D85:E85"/>
    <mergeCell ref="C8:G8"/>
    <mergeCell ref="B25:C25"/>
    <mergeCell ref="B20:C20"/>
    <mergeCell ref="B12:C12"/>
    <mergeCell ref="B13:C13"/>
    <mergeCell ref="B14:C14"/>
    <mergeCell ref="B15:C15"/>
    <mergeCell ref="B17:C17"/>
    <mergeCell ref="B18:C18"/>
    <mergeCell ref="B23:C23"/>
    <mergeCell ref="A1:I1"/>
    <mergeCell ref="B34:C34"/>
    <mergeCell ref="B35:C35"/>
    <mergeCell ref="B19:C19"/>
    <mergeCell ref="B26:C26"/>
    <mergeCell ref="B21:C21"/>
    <mergeCell ref="B22:C22"/>
    <mergeCell ref="B16:C16"/>
    <mergeCell ref="B24:C24"/>
    <mergeCell ref="B27:C27"/>
    <mergeCell ref="B205:C205"/>
    <mergeCell ref="B178:I178"/>
    <mergeCell ref="B181:I181"/>
    <mergeCell ref="B174:C174"/>
    <mergeCell ref="B158:C158"/>
    <mergeCell ref="B160:H160"/>
    <mergeCell ref="B164:H164"/>
    <mergeCell ref="B173:C173"/>
    <mergeCell ref="B208:C208"/>
    <mergeCell ref="B209:C209"/>
    <mergeCell ref="B213:C213"/>
    <mergeCell ref="B214:C214"/>
    <mergeCell ref="B206:C206"/>
    <mergeCell ref="B207:C207"/>
    <mergeCell ref="B247:F247"/>
    <mergeCell ref="B249:C249"/>
    <mergeCell ref="B251:F251"/>
    <mergeCell ref="B253:C253"/>
    <mergeCell ref="B215:C215"/>
    <mergeCell ref="B216:C216"/>
    <mergeCell ref="B217:C217"/>
    <mergeCell ref="B218:C218"/>
    <mergeCell ref="B119:D119"/>
    <mergeCell ref="H119:I119"/>
    <mergeCell ref="B73:D73"/>
    <mergeCell ref="E73:F73"/>
    <mergeCell ref="G84:I84"/>
    <mergeCell ref="G85:I85"/>
    <mergeCell ref="F102:H102"/>
    <mergeCell ref="B99:G99"/>
    <mergeCell ref="F106:G106"/>
    <mergeCell ref="B82:G82"/>
  </mergeCells>
  <dataValidations count="2">
    <dataValidation type="list" allowBlank="1" showInputMessage="1" showErrorMessage="1" sqref="C101 D42:F42">
      <formula1>$J$2:$J$16</formula1>
    </dataValidation>
    <dataValidation type="list" allowBlank="1" showInputMessage="1" showErrorMessage="1" sqref="D24">
      <formula1>$K$3:$K$4</formula1>
    </dataValidation>
  </dataValidations>
  <hyperlinks>
    <hyperlink ref="B28" r:id="rId1" display="ASME 16.5"/>
  </hyperlinks>
  <printOptions/>
  <pageMargins left="0.5905511811023623" right="0.5905511811023623" top="0.6692913385826772" bottom="0.5118110236220472" header="0.5118110236220472" footer="0.5118110236220472"/>
  <pageSetup fitToHeight="3" horizontalDpi="600" verticalDpi="600" orientation="portrait" paperSize="9" scale="78" r:id="rId2"/>
  <rowBreaks count="4" manualBreakCount="4">
    <brk id="49" max="8" man="1"/>
    <brk id="103" max="8" man="1"/>
    <brk id="144" max="8" man="1"/>
    <brk id="197" max="8" man="1"/>
  </rowBreaks>
  <ignoredErrors>
    <ignoredError sqref="E217:E2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2:AA56"/>
  <sheetViews>
    <sheetView zoomScale="75" zoomScaleNormal="75" zoomScalePageLayoutView="0" workbookViewId="0" topLeftCell="A1">
      <pane xSplit="4" topLeftCell="E1" activePane="topRight" state="frozen"/>
      <selection pane="topLeft" activeCell="A16" sqref="A16"/>
      <selection pane="topRight" activeCell="C64" sqref="C64"/>
    </sheetView>
  </sheetViews>
  <sheetFormatPr defaultColWidth="9.140625" defaultRowHeight="12.75"/>
  <cols>
    <col min="1" max="1" width="8.28125" style="0" customWidth="1"/>
    <col min="2" max="2" width="14.7109375" style="0" customWidth="1"/>
    <col min="3" max="3" width="17.421875" style="0" customWidth="1"/>
    <col min="4" max="4" width="12.57421875" style="0" customWidth="1"/>
    <col min="5" max="5" width="17.28125" style="0" customWidth="1"/>
    <col min="6" max="6" width="17.57421875" style="0" customWidth="1"/>
    <col min="7" max="10" width="17.28125" style="0" customWidth="1"/>
    <col min="20" max="20" width="14.421875" style="0" customWidth="1"/>
    <col min="21" max="21" width="12.28125" style="0" customWidth="1"/>
    <col min="22" max="22" width="8.7109375" style="0" customWidth="1"/>
    <col min="23" max="23" width="9.57421875" style="0" customWidth="1"/>
    <col min="24" max="24" width="8.00390625" style="0" customWidth="1"/>
    <col min="25" max="25" width="7.8515625" style="0" customWidth="1"/>
    <col min="26" max="26" width="3.8515625" style="0" customWidth="1"/>
  </cols>
  <sheetData>
    <row r="2" spans="1:5" ht="12.75">
      <c r="A2" s="229" t="s">
        <v>268</v>
      </c>
      <c r="B2" s="229"/>
      <c r="C2" s="229"/>
      <c r="D2" s="229"/>
      <c r="E2" s="36"/>
    </row>
    <row r="4" spans="2:10" ht="30" customHeight="1">
      <c r="B4" s="221" t="s">
        <v>160</v>
      </c>
      <c r="C4" s="221"/>
      <c r="D4" s="221"/>
      <c r="E4" s="40" t="s">
        <v>409</v>
      </c>
      <c r="F4" s="40" t="s">
        <v>411</v>
      </c>
      <c r="G4" s="40" t="s">
        <v>412</v>
      </c>
      <c r="H4" s="40" t="s">
        <v>413</v>
      </c>
      <c r="I4" s="40" t="s">
        <v>414</v>
      </c>
      <c r="J4" s="40" t="s">
        <v>415</v>
      </c>
    </row>
    <row r="5" spans="2:10" ht="21" customHeight="1">
      <c r="B5" s="221" t="s">
        <v>164</v>
      </c>
      <c r="C5" s="221"/>
      <c r="D5" s="221"/>
      <c r="E5" s="40" t="s">
        <v>410</v>
      </c>
      <c r="F5" s="40" t="s">
        <v>410</v>
      </c>
      <c r="G5" s="40" t="s">
        <v>410</v>
      </c>
      <c r="H5" s="40" t="s">
        <v>410</v>
      </c>
      <c r="I5" s="40" t="s">
        <v>410</v>
      </c>
      <c r="J5" s="40" t="s">
        <v>410</v>
      </c>
    </row>
    <row r="6" spans="2:27" ht="19.5" customHeight="1">
      <c r="B6" s="221" t="s">
        <v>157</v>
      </c>
      <c r="C6" s="221"/>
      <c r="D6" s="221"/>
      <c r="E6" s="2"/>
      <c r="F6" s="2"/>
      <c r="G6" s="1"/>
      <c r="H6" s="1"/>
      <c r="I6" s="1"/>
      <c r="J6" s="1"/>
      <c r="T6" s="145" t="s">
        <v>163</v>
      </c>
      <c r="U6" s="145" t="s">
        <v>163</v>
      </c>
      <c r="V6" s="145" t="s">
        <v>0</v>
      </c>
      <c r="W6" s="145" t="s">
        <v>163</v>
      </c>
      <c r="X6" s="145" t="s">
        <v>0</v>
      </c>
      <c r="Y6" s="145" t="s">
        <v>12</v>
      </c>
      <c r="Z6" s="145"/>
      <c r="AA6" s="33"/>
    </row>
    <row r="7" spans="2:27" ht="21" customHeight="1">
      <c r="B7" s="221" t="s">
        <v>161</v>
      </c>
      <c r="C7" s="221"/>
      <c r="D7" s="221"/>
      <c r="E7" s="157">
        <f>VLOOKUP('BANCO DE DADOS'!G3,'BANCO DE DADOS'!A3:C129,2,FALSE)</f>
        <v>168.3</v>
      </c>
      <c r="F7" s="158">
        <f>VLOOKUP('BANCO DE DADOS'!H3,'BANCO DE DADOS'!A3:C129,2,FALSE)</f>
        <v>168.3</v>
      </c>
      <c r="G7" s="158">
        <f>VLOOKUP('BANCO DE DADOS'!I3,'BANCO DE DADOS'!A3:C129,2,FALSE)</f>
        <v>88.9</v>
      </c>
      <c r="H7" s="158">
        <f>VLOOKUP('BANCO DE DADOS'!J3,'BANCO DE DADOS'!A3:C129,2,FALSE)</f>
        <v>508</v>
      </c>
      <c r="I7" s="158">
        <f>VLOOKUP('BANCO DE DADOS'!K3,'BANCO DE DADOS'!A3:C129,2,FALSE)</f>
        <v>508</v>
      </c>
      <c r="J7" s="158">
        <f>VLOOKUP('BANCO DE DADOS'!L3,'BANCO DE DADOS'!A3:C129,2,FALSE)</f>
        <v>168.3</v>
      </c>
      <c r="T7" s="26"/>
      <c r="U7" s="26"/>
      <c r="V7" s="26"/>
      <c r="W7" s="26"/>
      <c r="X7" s="26"/>
      <c r="Y7" s="26"/>
      <c r="Z7" s="26"/>
      <c r="AA7" s="33"/>
    </row>
    <row r="8" spans="2:22" ht="24.75" customHeight="1">
      <c r="B8" s="221" t="s">
        <v>162</v>
      </c>
      <c r="C8" s="221"/>
      <c r="D8" s="221"/>
      <c r="E8" s="158">
        <f>VLOOKUP('BANCO DE DADOS'!G3,'BANCO DE DADOS'!A3:C129,3,FALSE)</f>
        <v>18.26</v>
      </c>
      <c r="F8" s="158">
        <f>VLOOKUP('BANCO DE DADOS'!H3,'BANCO DE DADOS'!A3:C129,3,FALSE)</f>
        <v>18.26</v>
      </c>
      <c r="G8" s="158">
        <f>VLOOKUP('BANCO DE DADOS'!I3,'BANCO DE DADOS'!A3:C129,3,FALSE)</f>
        <v>11.13</v>
      </c>
      <c r="H8" s="158">
        <f>VLOOKUP('BANCO DE DADOS'!J3,'BANCO DE DADOS'!A3:C129,3,FALSE)</f>
        <v>15.09</v>
      </c>
      <c r="I8" s="158">
        <f>VLOOKUP('BANCO DE DADOS'!K3,'BANCO DE DADOS'!A3:C129,3,FALSE)</f>
        <v>15.09</v>
      </c>
      <c r="J8" s="158">
        <f>VLOOKUP('BANCO DE DADOS'!L3,'BANCO DE DADOS'!A3:C129,3,FALSE)</f>
        <v>10.97</v>
      </c>
      <c r="T8" s="146" t="s">
        <v>163</v>
      </c>
      <c r="U8" s="147">
        <f>COMPONENTES!D13*(COMPONENTES!D12+2*COMPONENTES!D15)*1/((2*COMPONENTES!D18*1)-(0.2*COMPONENTES!D13))</f>
        <v>15.399818376950384</v>
      </c>
      <c r="V8" s="147">
        <f>COMPONENTES!E42</f>
        <v>22.2</v>
      </c>
    </row>
    <row r="9" spans="2:22" ht="24.75" customHeight="1">
      <c r="B9" s="221" t="s">
        <v>422</v>
      </c>
      <c r="C9" s="221"/>
      <c r="D9" s="221"/>
      <c r="E9" s="158">
        <v>250</v>
      </c>
      <c r="F9" s="158">
        <v>250</v>
      </c>
      <c r="G9" s="158">
        <v>250</v>
      </c>
      <c r="H9" s="158">
        <v>250</v>
      </c>
      <c r="I9" s="158">
        <v>250</v>
      </c>
      <c r="J9" s="158">
        <v>250</v>
      </c>
      <c r="T9" s="146" t="s">
        <v>12</v>
      </c>
      <c r="U9" s="147">
        <f>(((COMPONENTES!D13+COMPONENTES!D35)*(COMPONENTES!D12+2*COMPONENTES!D15*1))/(2*COMPONENTES!D18*1-(0.2*(COMPONENTES!D13+COMPONENTES!D35))))</f>
        <v>15.586241947771743</v>
      </c>
      <c r="V9" s="147">
        <f>COMPONENTES!F42</f>
        <v>22.2</v>
      </c>
    </row>
    <row r="10" spans="2:22" ht="24.75" customHeight="1">
      <c r="B10" s="222" t="s">
        <v>331</v>
      </c>
      <c r="C10" s="223"/>
      <c r="D10" s="224"/>
      <c r="E10" s="157">
        <f>(PI()*0.25*((E7^2)-(E7-(2*E8))^2)*250*0.00000785)+(0.25*PI()*(E24^2-E7^2)*E23*0.00000785)+IF(COMPONENTES!$D$24="150#",VLOOKUP(E7,'BANCO DE DADOS'!$B3:$F129,4,FALSE),VLOOKUP(E7,'BANCO DE DADOS'!$B3:$F129,5,FALSE))</f>
        <v>32.36905994104376</v>
      </c>
      <c r="F10" s="157">
        <f>(PI()*0.25*((F7^2)-(F7-(2*F8))^2)*250*0.00000785)+(0.25*PI()*(F24^2-F7^2)*F23*0.00000785)+IF(COMPONENTES!$D$24="150#",VLOOKUP(F7,'BANCO DE DADOS'!$B3:$F129,4,FALSE),VLOOKUP(F7,'BANCO DE DADOS'!$B3:$F129,5,FALSE))</f>
        <v>32.36905994104376</v>
      </c>
      <c r="G10" s="157">
        <f>(PI()*0.25*((G7^2)-(G7-(2*G8))^2)*250*0.00000785)+(0.25*PI()*(G24^2-G7^2)*G23*0.00000785)+IF(COMPONENTES!$D$24="150#",VLOOKUP(G7,'BANCO DE DADOS'!$B3:$F129,4,FALSE),VLOOKUP(G7,'BANCO DE DADOS'!$B3:$F129,5,FALSE))</f>
        <v>11.068029097807718</v>
      </c>
      <c r="H10" s="157">
        <f>(PI()*0.25*((H7^2)-(H7-(2*H8))^2)*250*0.00000785)+(0.25*PI()*(H24^2-H7^2)*H23*0.00000785)+IF(COMPONENTES!$D$24="150#",VLOOKUP(H7,'BANCO DE DADOS'!$B3:$F129,4,FALSE),VLOOKUP(H7,'BANCO DE DADOS'!$B3:$F129,5,FALSE))</f>
        <v>179.42611365717528</v>
      </c>
      <c r="I10" s="157">
        <f>(PI()*0.25*((I7^2)-(I7-(2*I8))^2)*250*0.00000785)+(0.25*PI()*(I24^2-I7^2)*I23*0.00000785)+IF(COMPONENTES!$D$24="150#",VLOOKUP(I7,'BANCO DE DADOS'!$B3:$F129,4,FALSE),VLOOKUP(I7,'BANCO DE DADOS'!$B3:$F129,5,FALSE))</f>
        <v>157.52669958753157</v>
      </c>
      <c r="J10" s="157">
        <f>(PI()*0.25*((J7^2)-(J7-(2*J8))^2)*250*0.00000785)+(0.25*PI()*(J24^2-J7^2)*J23*0.00000785)+IF(COMPONENTES!$D$24="150#",VLOOKUP(J7,'BANCO DE DADOS'!$B3:$F129,4,FALSE),VLOOKUP(J7,'BANCO DE DADOS'!$B3:$F129,5,FALSE))</f>
        <v>27.541938932735466</v>
      </c>
      <c r="T10" s="146" t="s">
        <v>0</v>
      </c>
      <c r="U10" s="147">
        <f>((COMPONENTES!D13+COMPONENTES!D34)*((COMPONENTES!D12/2)+COMPONENTES!D15))/(COMPONENTES!D18*1-0.6*(COMPONENTES!D34+COMPONENTES!D13))</f>
        <v>15.603228521194698</v>
      </c>
      <c r="V10" s="147">
        <f>COMPONENTES!D42</f>
        <v>22.2</v>
      </c>
    </row>
    <row r="11" spans="2:10" ht="24.75" customHeight="1">
      <c r="B11" s="222" t="s">
        <v>333</v>
      </c>
      <c r="C11" s="223"/>
      <c r="D11" s="224"/>
      <c r="E11" s="157">
        <f aca="true" t="shared" si="0" ref="E11:J11">(PI()*0.25*((E7^2)-(E7-(2*E8))^2)*E9*0.000001)</f>
        <v>2.1517792243641565</v>
      </c>
      <c r="F11" s="157">
        <f t="shared" si="0"/>
        <v>2.1517792243641565</v>
      </c>
      <c r="G11" s="157">
        <f t="shared" si="0"/>
        <v>0.6798250208133798</v>
      </c>
      <c r="H11" s="157">
        <f t="shared" si="0"/>
        <v>5.841800885588369</v>
      </c>
      <c r="I11" s="157">
        <f t="shared" si="0"/>
        <v>5.841800885588369</v>
      </c>
      <c r="J11" s="157">
        <f t="shared" si="0"/>
        <v>1.3555266227291063</v>
      </c>
    </row>
    <row r="12" spans="2:10" ht="24.75" customHeight="1">
      <c r="B12" s="221" t="s">
        <v>175</v>
      </c>
      <c r="C12" s="221"/>
      <c r="D12" s="221"/>
      <c r="E12" s="159">
        <f aca="true" t="shared" si="1" ref="E12:J12">E8*0.875</f>
        <v>15.977500000000001</v>
      </c>
      <c r="F12" s="157">
        <f t="shared" si="1"/>
        <v>15.977500000000001</v>
      </c>
      <c r="G12" s="157">
        <f t="shared" si="1"/>
        <v>9.738750000000001</v>
      </c>
      <c r="H12" s="157">
        <f t="shared" si="1"/>
        <v>13.20375</v>
      </c>
      <c r="I12" s="157">
        <f t="shared" si="1"/>
        <v>13.20375</v>
      </c>
      <c r="J12" s="157">
        <f t="shared" si="1"/>
        <v>9.59875</v>
      </c>
    </row>
    <row r="13" spans="2:11" ht="27.75" customHeight="1">
      <c r="B13" s="221" t="s">
        <v>421</v>
      </c>
      <c r="C13" s="221"/>
      <c r="D13" s="221"/>
      <c r="E13" s="157">
        <f>((E7-(2*E12))/2)+COMPONENTES!$D$15</f>
        <v>71.3725</v>
      </c>
      <c r="F13" s="157">
        <f>((F7-(2*F12))/2)+COMPONENTES!$D$15</f>
        <v>71.3725</v>
      </c>
      <c r="G13" s="157">
        <f>((G7-(2*G12))/2)+COMPONENTES!$D$15</f>
        <v>37.91125</v>
      </c>
      <c r="H13" s="157">
        <f>((H7-(2*H12))/2)+COMPONENTES!$D$15</f>
        <v>243.99624999999997</v>
      </c>
      <c r="I13" s="157">
        <f>((I7-(2*I12))/2)+COMPONENTES!$D$15</f>
        <v>243.99624999999997</v>
      </c>
      <c r="J13" s="157">
        <f>((J7-(2*J12))/2)+COMPONENTES!$D$15</f>
        <v>77.75125000000001</v>
      </c>
      <c r="K13" s="4"/>
    </row>
    <row r="14" spans="2:11" ht="36" customHeight="1">
      <c r="B14" s="221" t="s">
        <v>165</v>
      </c>
      <c r="C14" s="221"/>
      <c r="D14" s="221"/>
      <c r="E14" s="40">
        <v>1054.64</v>
      </c>
      <c r="F14" s="40">
        <v>1054.64</v>
      </c>
      <c r="G14" s="40">
        <v>970.25</v>
      </c>
      <c r="H14" s="40">
        <v>970.25</v>
      </c>
      <c r="I14" s="40">
        <v>970.25</v>
      </c>
      <c r="J14" s="40">
        <v>970.25</v>
      </c>
      <c r="K14" s="16"/>
    </row>
    <row r="15" spans="2:11" ht="20.25" customHeight="1">
      <c r="B15" s="221" t="s">
        <v>166</v>
      </c>
      <c r="C15" s="221"/>
      <c r="D15" s="221"/>
      <c r="E15" s="1"/>
      <c r="F15" s="1"/>
      <c r="G15" s="1"/>
      <c r="H15" s="1"/>
      <c r="I15" s="1"/>
      <c r="J15" s="57"/>
      <c r="K15" s="4"/>
    </row>
    <row r="16" spans="2:10" ht="23.25" customHeight="1">
      <c r="B16" s="181" t="s">
        <v>167</v>
      </c>
      <c r="C16" s="181"/>
      <c r="D16" s="181"/>
      <c r="E16" s="181"/>
      <c r="F16" s="181"/>
      <c r="G16" s="181"/>
      <c r="H16" s="181"/>
      <c r="I16" s="181"/>
      <c r="J16" s="181"/>
    </row>
    <row r="17" spans="2:10" ht="42" customHeight="1">
      <c r="B17" s="188" t="s">
        <v>423</v>
      </c>
      <c r="C17" s="221"/>
      <c r="D17" s="221"/>
      <c r="E17" s="157">
        <f>(COMPONENTES!$E$56*E13)/(E14-(0.6*COMPONENTES!$E$56))+COMPONENTES!$D$15</f>
        <v>4.448223835553075</v>
      </c>
      <c r="F17" s="157">
        <f>(COMPONENTES!$E$56*F13)/(F14-(0.6*COMPONENTES!$E$56))+COMPONENTES!$D$15</f>
        <v>4.448223835553075</v>
      </c>
      <c r="G17" s="157">
        <f>(COMPONENTES!$E$56*G13)/(G14-(0.6*COMPONENTES!$E$56))+COMPONENTES!$D$15</f>
        <v>3.9213512825114445</v>
      </c>
      <c r="H17" s="157">
        <f>(COMPONENTES!$E$56*H13)/(H14-(0.6*COMPONENTES!$E$56))+COMPONENTES!$D$15</f>
        <v>7.842606294054747</v>
      </c>
      <c r="I17" s="157">
        <f>(COMPONENTES!$E$56*I13)/(I14-(0.6*COMPONENTES!$E$56))+COMPONENTES!$D$15</f>
        <v>7.842606294054747</v>
      </c>
      <c r="J17" s="157">
        <f>(COMPONENTES!$E$56*J13)/(J14-(0.6*COMPONENTES!$E$56))+COMPONENTES!$D$15</f>
        <v>4.679401599904196</v>
      </c>
    </row>
    <row r="18" spans="2:10" ht="42" customHeight="1">
      <c r="B18" s="188" t="s">
        <v>424</v>
      </c>
      <c r="C18" s="227"/>
      <c r="D18" s="227"/>
      <c r="E18" s="157">
        <f>(VLOOKUP(T6,T7:U10,2,FALSE))+COMPONENTES!D15</f>
        <v>18.599818376950385</v>
      </c>
      <c r="F18" s="157">
        <f>(VLOOKUP(U6,T7:U10,2,FALSE))+COMPONENTES!D15</f>
        <v>18.599818376950385</v>
      </c>
      <c r="G18" s="157">
        <f>(VLOOKUP(V6,T7:U10,2,FALSE))+COMPONENTES!D15</f>
        <v>18.803228521194697</v>
      </c>
      <c r="H18" s="157">
        <f>(VLOOKUP(W6,T7:U10,2,FALSE))+COMPONENTES!D15</f>
        <v>18.599818376950385</v>
      </c>
      <c r="I18" s="157">
        <f>(VLOOKUP(X6,T7:U10,2,FALSE))+COMPONENTES!D15</f>
        <v>18.803228521194697</v>
      </c>
      <c r="J18" s="157">
        <f>(VLOOKUP(Y6,T7:U10,2,FALSE))+COMPONENTES!D15</f>
        <v>18.786241947771742</v>
      </c>
    </row>
    <row r="19" spans="2:10" ht="39" customHeight="1">
      <c r="B19" s="188" t="s">
        <v>425</v>
      </c>
      <c r="C19" s="227"/>
      <c r="D19" s="227"/>
      <c r="E19" s="159">
        <f>((VLOOKUP('BANCO DE DADOS'!G3,'BANCO DE DADOS'!A3:D129,4,FALSE))*0.875)+COMPONENTES!D15</f>
        <v>9.42125</v>
      </c>
      <c r="F19" s="157">
        <f>((VLOOKUP('BANCO DE DADOS'!H3,'BANCO DE DADOS'!A3:D129,4,FALSE))*0.875)+COMPONENTES!D15</f>
        <v>9.42125</v>
      </c>
      <c r="G19" s="157">
        <f>((VLOOKUP('BANCO DE DADOS'!I3,'BANCO DE DADOS'!A3:D129,4,FALSE))*0.875)+COMPONENTES!D15</f>
        <v>8.00375</v>
      </c>
      <c r="H19" s="157">
        <f>((VLOOKUP('BANCO DE DADOS'!J3,'BANCO DE DADOS'!A3:D129,4,FALSE))*0.875)+COMPONENTES!D15</f>
        <v>11.53875</v>
      </c>
      <c r="I19" s="157">
        <f>((VLOOKUP('BANCO DE DADOS'!K3,'BANCO DE DADOS'!A3:D129,4,FALSE))*0.875)+COMPONENTES!D15</f>
        <v>11.53875</v>
      </c>
      <c r="J19" s="157">
        <f>((VLOOKUP('BANCO DE DADOS'!L3,'BANCO DE DADOS'!A3:D129,4,FALSE))*0.875)+COMPONENTES!D15</f>
        <v>9.42125</v>
      </c>
    </row>
    <row r="20" spans="2:10" ht="54.75" customHeight="1">
      <c r="B20" s="221" t="s">
        <v>174</v>
      </c>
      <c r="C20" s="221"/>
      <c r="D20" s="221"/>
      <c r="E20" s="157">
        <f aca="true" t="shared" si="2" ref="E20:J20">IF(E18&lt;E19,IF(E18&gt;E17,E18,E17),IF(E19&gt;E17,E19,E17))</f>
        <v>9.42125</v>
      </c>
      <c r="F20" s="157">
        <f t="shared" si="2"/>
        <v>9.42125</v>
      </c>
      <c r="G20" s="157">
        <f t="shared" si="2"/>
        <v>8.00375</v>
      </c>
      <c r="H20" s="157">
        <f t="shared" si="2"/>
        <v>11.53875</v>
      </c>
      <c r="I20" s="157">
        <f t="shared" si="2"/>
        <v>11.53875</v>
      </c>
      <c r="J20" s="157">
        <f t="shared" si="2"/>
        <v>9.42125</v>
      </c>
    </row>
    <row r="21" spans="2:10" ht="48.75" customHeight="1">
      <c r="B21" s="226" t="s">
        <v>222</v>
      </c>
      <c r="C21" s="226"/>
      <c r="D21" s="226"/>
      <c r="E21" s="160" t="str">
        <f aca="true" t="shared" si="3" ref="E21:J21">IF(E12&gt;E20,"OK","ESCOLHER OUTRO SCH")</f>
        <v>OK</v>
      </c>
      <c r="F21" s="160" t="str">
        <f t="shared" si="3"/>
        <v>OK</v>
      </c>
      <c r="G21" s="160" t="str">
        <f t="shared" si="3"/>
        <v>OK</v>
      </c>
      <c r="H21" s="160" t="str">
        <f t="shared" si="3"/>
        <v>OK</v>
      </c>
      <c r="I21" s="160" t="str">
        <f t="shared" si="3"/>
        <v>OK</v>
      </c>
      <c r="J21" s="160" t="str">
        <f t="shared" si="3"/>
        <v>OK</v>
      </c>
    </row>
    <row r="22" spans="2:10" ht="22.5" customHeight="1">
      <c r="B22" s="225" t="s">
        <v>182</v>
      </c>
      <c r="C22" s="225"/>
      <c r="D22" s="225"/>
      <c r="E22" s="225"/>
      <c r="F22" s="225"/>
      <c r="G22" s="225"/>
      <c r="H22" s="225"/>
      <c r="I22" s="225"/>
      <c r="J22" s="225"/>
    </row>
    <row r="23" spans="2:10" s="4" customFormat="1" ht="22.5" customHeight="1">
      <c r="B23" s="228" t="s">
        <v>187</v>
      </c>
      <c r="C23" s="228"/>
      <c r="D23" s="228"/>
      <c r="E23" s="21">
        <v>22.2</v>
      </c>
      <c r="F23" s="21">
        <v>22.2</v>
      </c>
      <c r="G23" s="21">
        <v>22.2</v>
      </c>
      <c r="H23" s="21">
        <v>22.2</v>
      </c>
      <c r="I23" s="21">
        <v>22.2</v>
      </c>
      <c r="J23" s="21">
        <v>22.2</v>
      </c>
    </row>
    <row r="24" spans="2:10" s="4" customFormat="1" ht="22.5" customHeight="1">
      <c r="B24" s="228" t="s">
        <v>188</v>
      </c>
      <c r="C24" s="228"/>
      <c r="D24" s="228"/>
      <c r="E24" s="21">
        <v>250</v>
      </c>
      <c r="F24" s="21">
        <v>250</v>
      </c>
      <c r="G24" s="21">
        <v>130</v>
      </c>
      <c r="H24" s="21">
        <v>850</v>
      </c>
      <c r="I24" s="21">
        <v>750</v>
      </c>
      <c r="J24" s="21">
        <v>270</v>
      </c>
    </row>
    <row r="25" spans="2:10" s="4" customFormat="1" ht="22.5" customHeight="1">
      <c r="B25" s="221" t="s">
        <v>190</v>
      </c>
      <c r="C25" s="221"/>
      <c r="D25" s="221"/>
      <c r="E25" s="21">
        <v>970.25</v>
      </c>
      <c r="F25" s="21">
        <v>970.25</v>
      </c>
      <c r="G25" s="21">
        <v>970.25</v>
      </c>
      <c r="H25" s="21">
        <v>970.25</v>
      </c>
      <c r="I25" s="21">
        <v>970.25</v>
      </c>
      <c r="J25" s="21">
        <v>970.25</v>
      </c>
    </row>
    <row r="26" spans="2:10" s="4" customFormat="1" ht="22.5" customHeight="1">
      <c r="B26" s="221" t="s">
        <v>194</v>
      </c>
      <c r="C26" s="221"/>
      <c r="D26" s="221"/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</row>
    <row r="27" spans="2:10" s="4" customFormat="1" ht="22.5" customHeight="1">
      <c r="B27" s="221" t="s">
        <v>198</v>
      </c>
      <c r="C27" s="221"/>
      <c r="D27" s="221"/>
      <c r="E27" s="21">
        <v>10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</row>
    <row r="28" spans="2:10" ht="16.5" customHeight="1">
      <c r="B28" s="228" t="s">
        <v>183</v>
      </c>
      <c r="C28" s="228"/>
      <c r="D28" s="228"/>
      <c r="E28" s="157">
        <f>(VLOOKUP(T6,T7:V10,3,FALSE))-COMPONENTES!D15</f>
        <v>19</v>
      </c>
      <c r="F28" s="157">
        <f>(VLOOKUP(U6,T7:V10,3,FALSE))-COMPONENTES!D15</f>
        <v>19</v>
      </c>
      <c r="G28" s="157">
        <f>(VLOOKUP(V6,T7:V10,3,FALSE))-COMPONENTES!D15</f>
        <v>19</v>
      </c>
      <c r="H28" s="157">
        <f>(VLOOKUP(W6,T7:V10,3,FALSE))-COMPONENTES!D15</f>
        <v>19</v>
      </c>
      <c r="I28" s="157">
        <f>(VLOOKUP(X6,T7:V10,3,FALSE))-COMPONENTES!D15</f>
        <v>19</v>
      </c>
      <c r="J28" s="157">
        <f>(VLOOKUP(Y6,T7:V10,3,FALSE))-COMPONENTES!D15</f>
        <v>19</v>
      </c>
    </row>
    <row r="29" spans="2:10" ht="16.5" customHeight="1">
      <c r="B29" s="228" t="s">
        <v>184</v>
      </c>
      <c r="C29" s="228"/>
      <c r="D29" s="228"/>
      <c r="E29" s="157">
        <f>VLOOKUP('BANCO DE DADOS'!G3,'BANCO DE DADOS'!A3:C129,3,FALSE)-COMPONENTES!D15</f>
        <v>15.060000000000002</v>
      </c>
      <c r="F29" s="157">
        <f>VLOOKUP('BANCO DE DADOS'!H3,'BANCO DE DADOS'!A3:C129,3,FALSE)-COMPONENTES!D15</f>
        <v>15.060000000000002</v>
      </c>
      <c r="G29" s="157">
        <f>VLOOKUP('BANCO DE DADOS'!I3,'BANCO DE DADOS'!A3:C129,3,FALSE)-COMPONENTES!D15</f>
        <v>7.930000000000001</v>
      </c>
      <c r="H29" s="157">
        <f>VLOOKUP('BANCO DE DADOS'!J3,'BANCO DE DADOS'!A3:C129,3,FALSE)-COMPONENTES!D15</f>
        <v>11.89</v>
      </c>
      <c r="I29" s="157">
        <f>VLOOKUP('BANCO DE DADOS'!K3,'BANCO DE DADOS'!A3:C129,3,FALSE)-COMPONENTES!D15</f>
        <v>11.89</v>
      </c>
      <c r="J29" s="157">
        <f>VLOOKUP('BANCO DE DADOS'!L3,'BANCO DE DADOS'!A3:C129,3,FALSE)-COMPONENTES!D15</f>
        <v>7.7700000000000005</v>
      </c>
    </row>
    <row r="30" spans="2:10" ht="23.25" customHeight="1">
      <c r="B30" s="221" t="s">
        <v>185</v>
      </c>
      <c r="C30" s="221"/>
      <c r="D30" s="221"/>
      <c r="E30" s="157">
        <f aca="true" t="shared" si="4" ref="E30:J30">IF((2*E13)&gt;(E13+E28+E29),(2*E13),(E13+E28+E29))</f>
        <v>142.745</v>
      </c>
      <c r="F30" s="157">
        <f t="shared" si="4"/>
        <v>142.745</v>
      </c>
      <c r="G30" s="157">
        <f t="shared" si="4"/>
        <v>75.8225</v>
      </c>
      <c r="H30" s="157">
        <f t="shared" si="4"/>
        <v>487.99249999999995</v>
      </c>
      <c r="I30" s="157">
        <f t="shared" si="4"/>
        <v>487.99249999999995</v>
      </c>
      <c r="J30" s="157">
        <f t="shared" si="4"/>
        <v>155.50250000000003</v>
      </c>
    </row>
    <row r="31" spans="2:10" ht="27" customHeight="1">
      <c r="B31" s="221" t="s">
        <v>186</v>
      </c>
      <c r="C31" s="221"/>
      <c r="D31" s="221"/>
      <c r="E31" s="157">
        <f aca="true" t="shared" si="5" ref="E31:J31">IF((2.5*E28)&lt;((2.5*E29)+E23),(2.5*E28),((2.5*E29)+E23))</f>
        <v>47.5</v>
      </c>
      <c r="F31" s="157">
        <f t="shared" si="5"/>
        <v>47.5</v>
      </c>
      <c r="G31" s="157">
        <f t="shared" si="5"/>
        <v>42.025000000000006</v>
      </c>
      <c r="H31" s="157">
        <f t="shared" si="5"/>
        <v>47.5</v>
      </c>
      <c r="I31" s="157">
        <f t="shared" si="5"/>
        <v>47.5</v>
      </c>
      <c r="J31" s="157">
        <f t="shared" si="5"/>
        <v>41.625</v>
      </c>
    </row>
    <row r="32" spans="2:10" ht="30.75" customHeight="1">
      <c r="B32" s="226" t="s">
        <v>426</v>
      </c>
      <c r="C32" s="226"/>
      <c r="D32" s="226"/>
      <c r="E32" s="8" t="str">
        <f aca="true" t="shared" si="6" ref="E32:J32">IF(E24&lt;2*E30,"OK","REVER Dext do reforço")</f>
        <v>OK</v>
      </c>
      <c r="F32" s="8" t="str">
        <f t="shared" si="6"/>
        <v>OK</v>
      </c>
      <c r="G32" s="8" t="str">
        <f t="shared" si="6"/>
        <v>OK</v>
      </c>
      <c r="H32" s="8" t="str">
        <f t="shared" si="6"/>
        <v>OK</v>
      </c>
      <c r="I32" s="8" t="str">
        <f t="shared" si="6"/>
        <v>OK</v>
      </c>
      <c r="J32" s="8" t="str">
        <f t="shared" si="6"/>
        <v>OK</v>
      </c>
    </row>
    <row r="33" spans="2:10" ht="14.25" customHeight="1">
      <c r="B33" s="221" t="s">
        <v>189</v>
      </c>
      <c r="C33" s="221"/>
      <c r="D33" s="221"/>
      <c r="E33" s="157">
        <f>COMPONENTES!D17</f>
        <v>970.26</v>
      </c>
      <c r="F33" s="157">
        <f>COMPONENTES!D17</f>
        <v>970.26</v>
      </c>
      <c r="G33" s="157">
        <f>COMPONENTES!D17</f>
        <v>970.26</v>
      </c>
      <c r="H33" s="157">
        <f>COMPONENTES!D17</f>
        <v>970.26</v>
      </c>
      <c r="I33" s="157">
        <f>COMPONENTES!D17</f>
        <v>970.26</v>
      </c>
      <c r="J33" s="157">
        <f>COMPONENTES!D17</f>
        <v>970.26</v>
      </c>
    </row>
    <row r="34" spans="2:10" ht="12.75" customHeight="1">
      <c r="B34" s="228" t="s">
        <v>191</v>
      </c>
      <c r="C34" s="228"/>
      <c r="D34" s="228"/>
      <c r="E34" s="157">
        <f aca="true" t="shared" si="7" ref="E34:J34">E14/E33</f>
        <v>1.086966380145528</v>
      </c>
      <c r="F34" s="157">
        <f t="shared" si="7"/>
        <v>1.086966380145528</v>
      </c>
      <c r="G34" s="157">
        <f t="shared" si="7"/>
        <v>0.9999896934842207</v>
      </c>
      <c r="H34" s="157">
        <f t="shared" si="7"/>
        <v>0.9999896934842207</v>
      </c>
      <c r="I34" s="157">
        <f t="shared" si="7"/>
        <v>0.9999896934842207</v>
      </c>
      <c r="J34" s="157">
        <f t="shared" si="7"/>
        <v>0.9999896934842207</v>
      </c>
    </row>
    <row r="35" spans="2:10" ht="12.75">
      <c r="B35" s="228" t="s">
        <v>192</v>
      </c>
      <c r="C35" s="228"/>
      <c r="D35" s="228"/>
      <c r="E35" s="157">
        <f aca="true" t="shared" si="8" ref="E35:J35">IF(E34&lt;E36,E34,E36)</f>
        <v>0.9999896934842207</v>
      </c>
      <c r="F35" s="157">
        <f t="shared" si="8"/>
        <v>0.9999896934842207</v>
      </c>
      <c r="G35" s="157">
        <f t="shared" si="8"/>
        <v>0.9999896934842207</v>
      </c>
      <c r="H35" s="157">
        <f t="shared" si="8"/>
        <v>0.9999896934842207</v>
      </c>
      <c r="I35" s="157">
        <f t="shared" si="8"/>
        <v>0.9999896934842207</v>
      </c>
      <c r="J35" s="157">
        <f t="shared" si="8"/>
        <v>0.9999896934842207</v>
      </c>
    </row>
    <row r="36" spans="2:10" ht="12.75">
      <c r="B36" s="228" t="s">
        <v>193</v>
      </c>
      <c r="C36" s="228"/>
      <c r="D36" s="228"/>
      <c r="E36" s="157">
        <f aca="true" t="shared" si="9" ref="E36:J36">E25/E33</f>
        <v>0.9999896934842207</v>
      </c>
      <c r="F36" s="157">
        <f t="shared" si="9"/>
        <v>0.9999896934842207</v>
      </c>
      <c r="G36" s="157">
        <f t="shared" si="9"/>
        <v>0.9999896934842207</v>
      </c>
      <c r="H36" s="157">
        <f t="shared" si="9"/>
        <v>0.9999896934842207</v>
      </c>
      <c r="I36" s="157">
        <f t="shared" si="9"/>
        <v>0.9999896934842207</v>
      </c>
      <c r="J36" s="157">
        <f t="shared" si="9"/>
        <v>0.9999896934842207</v>
      </c>
    </row>
    <row r="37" spans="2:10" ht="12.75">
      <c r="B37" s="238" t="s">
        <v>427</v>
      </c>
      <c r="C37" s="239"/>
      <c r="D37" s="240"/>
      <c r="E37" s="157">
        <f aca="true" t="shared" si="10" ref="E37:J37">2*E13</f>
        <v>142.745</v>
      </c>
      <c r="F37" s="157">
        <f t="shared" si="10"/>
        <v>142.745</v>
      </c>
      <c r="G37" s="157">
        <f t="shared" si="10"/>
        <v>75.8225</v>
      </c>
      <c r="H37" s="157">
        <f t="shared" si="10"/>
        <v>487.99249999999995</v>
      </c>
      <c r="I37" s="157">
        <f t="shared" si="10"/>
        <v>487.99249999999995</v>
      </c>
      <c r="J37" s="157">
        <f t="shared" si="10"/>
        <v>155.50250000000003</v>
      </c>
    </row>
    <row r="38" spans="2:10" ht="26.25" customHeight="1">
      <c r="B38" s="221" t="s">
        <v>428</v>
      </c>
      <c r="C38" s="221"/>
      <c r="D38" s="221"/>
      <c r="E38" s="157">
        <f>(E37*(E18-COMPONENTES!$D$15))+(2*(E18-COMPONENTES!$D$15)*E29*(1-E34))</f>
        <v>2157.9083684684274</v>
      </c>
      <c r="F38" s="157">
        <f>(F37*(F18-COMPONENTES!$D$15))+(2*(F18-COMPONENTES!$D$15)*F29*(1-F34))</f>
        <v>2157.9083684684274</v>
      </c>
      <c r="G38" s="157">
        <f>(G37*(G18-COMPONENTES!$D$15))+(2*(G18-COMPONENTES!$D$15)*G29*(1-G34))</f>
        <v>1183.0783450729316</v>
      </c>
      <c r="H38" s="157">
        <f>(H37*(H18-COMPONENTES!$D$15))+(2*(H18-COMPONENTES!$D$15)*H29*(1-H34))</f>
        <v>7514.999643639202</v>
      </c>
      <c r="I38" s="157">
        <f>(I37*(I18-COMPONENTES!$D$15))+(2*(I18-COMPONENTES!$D$15)*I29*(1-I34))</f>
        <v>7614.262318307923</v>
      </c>
      <c r="J38" s="157">
        <f>(J37*(J18-COMPONENTES!$D$15))+(2*(J18-COMPONENTES!$D$15)*J29*(1-J34))</f>
        <v>2423.702084826623</v>
      </c>
    </row>
    <row r="39" spans="2:10" ht="27" customHeight="1">
      <c r="B39" s="221" t="s">
        <v>199</v>
      </c>
      <c r="C39" s="221"/>
      <c r="D39" s="221"/>
      <c r="E39" s="157">
        <f aca="true" t="shared" si="11" ref="E39:J39">E40+E41+E42+E43+E44</f>
        <v>1762.5090845430393</v>
      </c>
      <c r="F39" s="157">
        <f t="shared" si="11"/>
        <v>1653.8124465284866</v>
      </c>
      <c r="G39" s="157">
        <f t="shared" si="11"/>
        <v>543.3711260208659</v>
      </c>
      <c r="H39" s="157">
        <f t="shared" si="11"/>
        <v>2187.71386349957</v>
      </c>
      <c r="I39" s="157">
        <f t="shared" si="11"/>
        <v>2088.451288538005</v>
      </c>
      <c r="J39" s="157">
        <f t="shared" si="11"/>
        <v>775.2345937949522</v>
      </c>
    </row>
    <row r="40" spans="2:10" ht="39" customHeight="1">
      <c r="B40" s="221" t="s">
        <v>429</v>
      </c>
      <c r="C40" s="221"/>
      <c r="D40" s="221"/>
      <c r="E40" s="157">
        <f>IF(E37*(E28-(E18-COMPONENTES!$D$15))-(2*E29*(E28-(E18-COMPONENTES!$D$15))*(1-E34))&gt;(2*(E28+E29)*(E28-(E18-COMPONENTES!$D$15)))-(2*E29*(E28-(E18-COMPONENTES!$D$15))*(1-E34)),E37*(E28-(E18-COMPONENTES!$D$15))-(2*E29*(E28-(E18-COMPONENTES!$D$15))*(1-E34)),(2*(E28+E29)*(E28-(E18-COMPONENTES!$D$15)))-(2*E29*(E28-(E18-COMPONENTES!$D$15))*(1-E34)))</f>
        <v>523.3383400625444</v>
      </c>
      <c r="F40" s="157">
        <f>IF(F37*(F28-(F18-COMPONENTES!$D$15))-(2*F29*(F28-(F18-COMPONENTES!$D$15))*(1-F34))&gt;(2*(F28+F29)*(F28-(F18-COMPONENTES!$D$15)))-(2*F29*(F28-(F18-COMPONENTES!$D$15))*(1-F34)),F37*(F28-(F18-COMPONENTES!$D$15))-(2*F29*(F28-(F18-COMPONENTES!$D$15))*(1-F34)),(2*(F28+F29)*(F28-(F18-COMPONENTES!$D$15)))-(2*F29*(F28-(F18-COMPONENTES!$D$15))*(1-F34)))</f>
        <v>523.3383400625444</v>
      </c>
      <c r="G40" s="157">
        <f>IF(G37*(G28-(G18-COMPONENTES!$D$15))-(2*G29*(G28-(G18-COMPONENTES!$D$15))*(1-G34))&gt;(2*(G28+G29)*(G28-(G18-COMPONENTES!$D$15)))-(2*G29*(G28-(G18-COMPONENTES!$D$15))*(1-G34)),G37*(G28-(G18-COMPONENTES!$D$15))-(2*G29*(G28-(G18-COMPONENTES!$D$15))*(1-G34)),(2*(G28+G29)*(G28-(G18-COMPONENTES!$D$15)))-(2*G29*(G28-(G18-COMPONENTES!$D$15))*(1-G34)))</f>
        <v>257.5511502108966</v>
      </c>
      <c r="H40" s="157">
        <f>IF(H37*(H28-(H18-COMPONENTES!$D$15))-(2*H29*(H28-(H18-COMPONENTES!$D$15))*(1-H34))&gt;(2*(H28+H29)*(H28-(H18-COMPONENTES!$D$15)))-(2*H29*(H28-(H18-COMPONENTES!$D$15))*(1-H34)),H37*(H28-(H18-COMPONENTES!$D$15))-(2*H29*(H28-(H18-COMPONENTES!$D$15))*(1-H34)),(2*(H28+H29)*(H28-(H18-COMPONENTES!$D$15)))-(2*H29*(H28-(H18-COMPONENTES!$D$15))*(1-H34)))</f>
        <v>1756.8607483213223</v>
      </c>
      <c r="I40" s="157">
        <f>IF(I37*(I28-(I18-COMPONENTES!$D$15))-(2*I29*(I28-(I18-COMPONENTES!$D$15))*(1-I34))&gt;(2*(I28+I29)*(I28-(I18-COMPONENTES!$D$15)))-(2*I29*(I28-(I18-COMPONENTES!$D$15))*(1-I34)),I37*(I28-(I18-COMPONENTES!$D$15))-(2*I29*(I28-(I18-COMPONENTES!$D$15))*(1-I34)),(2*(I28+I29)*(I28-(I18-COMPONENTES!$D$15)))-(2*I29*(I28-(I18-COMPONENTES!$D$15))*(1-I34)))</f>
        <v>1657.5981733597573</v>
      </c>
      <c r="J40" s="157">
        <f>IF(J37*(J28-(J18-COMPONENTES!$D$15))-(2*J29*(J28-(J18-COMPONENTES!$D$15))*(1-J34))&gt;(2*(J28+J29)*(J28-(J18-COMPONENTES!$D$15)))-(2*J29*(J28-(J18-COMPONENTES!$D$15))*(1-J34)),J37*(J28-(J18-COMPONENTES!$D$15))-(2*J29*(J28-(J18-COMPONENTES!$D$15))*(1-J34)),(2*(J28+J29)*(J28-(J18-COMPONENTES!$D$15)))-(2*J29*(J28-(J18-COMPONENTES!$D$15))*(1-J34)))</f>
        <v>530.8473647580225</v>
      </c>
    </row>
    <row r="41" spans="2:10" ht="27" customHeight="1">
      <c r="B41" s="221" t="s">
        <v>430</v>
      </c>
      <c r="C41" s="221"/>
      <c r="D41" s="221"/>
      <c r="E41" s="157">
        <f>IF((5*(E29-(E17-COMPONENTES!$D$15))*E34*E28)&lt;(5*(E29-(E17-COMPONENTES!$D$15))*E34*E29),(5*(E29-(E17-COMPONENTES!$D$15))*E34*E28),(5*(E29-(E17-COMPONENTES!$D$15))*E34*E29))</f>
        <v>1130.4741064659422</v>
      </c>
      <c r="F41" s="157">
        <f>IF((5*(F29-(F17-COMPONENTES!$D$15))*F34*F28)&lt;(5*(F29-(F17-COMPONENTES!$D$15))*F34*F29),(5*(F29-(F17-COMPONENTES!$D$15))*F34*F28),(5*(F29-(F17-COMPONENTES!$D$15))*F34*F29))</f>
        <v>1130.4741064659422</v>
      </c>
      <c r="G41" s="157">
        <f>IF((5*(G29-(G17-COMPONENTES!D15))*G34*G28)&lt;(5*(G29-(G17-COMPONENTES!D15))*G34*G29),(5*(G29-(G17-COMPONENTES!D15))*G34*G28),(5*(G29-(G17-COMPONENTES!D15))*G34*G29))</f>
        <v>285.8199758099692</v>
      </c>
      <c r="H41" s="157">
        <f>IF((5*(H29-(H17-COMPONENTES!D15))*H34*H28)&lt;(5*(H29-(H17-COMPONENTES!D15))*H34*H29),(5*(H29-(H17-COMPONENTES!D15))*H34*H28),(5*(H29-(H17-COMPONENTES!D15))*H34*H29))</f>
        <v>430.8531151782477</v>
      </c>
      <c r="I41" s="157">
        <f>IF((5*(I29-(I17-COMPONENTES!D15))*I34*I28)&lt;(5*(I29-(I17-COMPONENTES!D15))*I34*I29),(5*(I29-(I17-COMPONENTES!D15))*I34*I28),(5*(I29-(I17-COMPONENTES!D15))*I34*I29))</f>
        <v>430.8531151782477</v>
      </c>
      <c r="J41" s="157">
        <f>IF((5*(J29-(J17-COMPONENTES!D15))*J34*J28)&lt;(5*(J29-(J17-COMPONENTES!D15))*J34*J29),(5*(J29-(J17-COMPONENTES!D15))*J34*J28),(5*(J29-(J17-COMPONENTES!D15))*J34*J29))</f>
        <v>244.38722903692957</v>
      </c>
    </row>
    <row r="42" spans="2:10" ht="21.75" customHeight="1">
      <c r="B42" s="221" t="s">
        <v>195</v>
      </c>
      <c r="C42" s="221"/>
      <c r="D42" s="221"/>
      <c r="E42" s="157">
        <f aca="true" t="shared" si="12" ref="E42:J42">2*E29*E34*E26</f>
        <v>0</v>
      </c>
      <c r="F42" s="157">
        <f t="shared" si="12"/>
        <v>0</v>
      </c>
      <c r="G42" s="157">
        <f t="shared" si="12"/>
        <v>0</v>
      </c>
      <c r="H42" s="157">
        <f t="shared" si="12"/>
        <v>0</v>
      </c>
      <c r="I42" s="157">
        <f t="shared" si="12"/>
        <v>0</v>
      </c>
      <c r="J42" s="157">
        <f t="shared" si="12"/>
        <v>0</v>
      </c>
    </row>
    <row r="43" spans="2:10" ht="16.5" customHeight="1">
      <c r="B43" s="228" t="s">
        <v>196</v>
      </c>
      <c r="C43" s="228"/>
      <c r="D43" s="228"/>
      <c r="E43" s="157">
        <f aca="true" t="shared" si="13" ref="E43:J43">E27^2*E34</f>
        <v>108.6966380145528</v>
      </c>
      <c r="F43" s="157">
        <f t="shared" si="13"/>
        <v>0</v>
      </c>
      <c r="G43" s="157">
        <f t="shared" si="13"/>
        <v>0</v>
      </c>
      <c r="H43" s="157">
        <f t="shared" si="13"/>
        <v>0</v>
      </c>
      <c r="I43" s="157">
        <f t="shared" si="13"/>
        <v>0</v>
      </c>
      <c r="J43" s="157">
        <f t="shared" si="13"/>
        <v>0</v>
      </c>
    </row>
    <row r="44" spans="2:10" ht="12.75">
      <c r="B44" s="228" t="s">
        <v>197</v>
      </c>
      <c r="C44" s="228"/>
      <c r="D44" s="228"/>
      <c r="E44" s="157">
        <f aca="true" t="shared" si="14" ref="E44:J44">IF(E26=0,0,E27^2*E34)</f>
        <v>0</v>
      </c>
      <c r="F44" s="157">
        <f t="shared" si="14"/>
        <v>0</v>
      </c>
      <c r="G44" s="157">
        <f t="shared" si="14"/>
        <v>0</v>
      </c>
      <c r="H44" s="157">
        <f t="shared" si="14"/>
        <v>0</v>
      </c>
      <c r="I44" s="157">
        <f t="shared" si="14"/>
        <v>0</v>
      </c>
      <c r="J44" s="157">
        <f t="shared" si="14"/>
        <v>0</v>
      </c>
    </row>
    <row r="45" spans="2:10" ht="12.75" customHeight="1">
      <c r="B45" s="237" t="s">
        <v>204</v>
      </c>
      <c r="C45" s="231"/>
      <c r="D45" s="232"/>
      <c r="E45" s="236" t="str">
        <f aca="true" t="shared" si="15" ref="E45:J45">IF(E38&lt;E39,"OK!","Calcular Anel de Reforço")</f>
        <v>Calcular Anel de Reforço</v>
      </c>
      <c r="F45" s="236" t="str">
        <f t="shared" si="15"/>
        <v>Calcular Anel de Reforço</v>
      </c>
      <c r="G45" s="236" t="str">
        <f t="shared" si="15"/>
        <v>Calcular Anel de Reforço</v>
      </c>
      <c r="H45" s="236" t="str">
        <f t="shared" si="15"/>
        <v>Calcular Anel de Reforço</v>
      </c>
      <c r="I45" s="236" t="str">
        <f t="shared" si="15"/>
        <v>Calcular Anel de Reforço</v>
      </c>
      <c r="J45" s="236" t="str">
        <f t="shared" si="15"/>
        <v>Calcular Anel de Reforço</v>
      </c>
    </row>
    <row r="46" spans="2:10" ht="33" customHeight="1">
      <c r="B46" s="233"/>
      <c r="C46" s="234"/>
      <c r="D46" s="235"/>
      <c r="E46" s="236"/>
      <c r="F46" s="236"/>
      <c r="G46" s="236"/>
      <c r="H46" s="236"/>
      <c r="I46" s="236"/>
      <c r="J46" s="236"/>
    </row>
    <row r="47" spans="2:10" ht="12.75">
      <c r="B47" s="228" t="s">
        <v>200</v>
      </c>
      <c r="C47" s="228"/>
      <c r="D47" s="228"/>
      <c r="E47" s="157">
        <f aca="true" t="shared" si="16" ref="E47:J47">E40</f>
        <v>523.3383400625444</v>
      </c>
      <c r="F47" s="157">
        <f t="shared" si="16"/>
        <v>523.3383400625444</v>
      </c>
      <c r="G47" s="157">
        <f t="shared" si="16"/>
        <v>257.5511502108966</v>
      </c>
      <c r="H47" s="157">
        <f t="shared" si="16"/>
        <v>1756.8607483213223</v>
      </c>
      <c r="I47" s="157">
        <f t="shared" si="16"/>
        <v>1657.5981733597573</v>
      </c>
      <c r="J47" s="157">
        <f t="shared" si="16"/>
        <v>530.8473647580225</v>
      </c>
    </row>
    <row r="48" spans="2:10" ht="31.5" customHeight="1">
      <c r="B48" s="221" t="s">
        <v>431</v>
      </c>
      <c r="C48" s="221"/>
      <c r="D48" s="221"/>
      <c r="E48" s="157">
        <f>IF((5*(E29-(E17-COMPONENTES!$D$15))*E34*E28)&lt;(2*(E29-(E17-COMPONENTES!$D$15))*((2.5*E29)+E23)*E34),(5*(E29-(E17-COMPONENTES!$D$15))*E34*E28),(2*(E29-(E17-COMPONENTES!$D15))*((2.5*E29)+E23)*E34))</f>
        <v>1426.2289523806705</v>
      </c>
      <c r="F48" s="157">
        <f>IF((5*(F29-(F17-COMPONENTES!$D$15))*F34*F28)&lt;(2*(F29-(F17-COMPONENTES!$D$15))*((2.5*F29)+F23)*F34),(5*(F29-(F17-COMPONENTES!$D$15))*F34*F28),(2*(F29-(F17-COMPONENTES!$D15))*((2.5*F29)+F23)*F34))</f>
        <v>1426.2289523806705</v>
      </c>
      <c r="G48" s="157">
        <f>IF((5*(G29-(G17-COMPONENTES!$D$15))*G34*G28)&lt;(2*(G29-(G17-COMPONENTES!$D$15))*((2.5*G29)+G23)*G34),(5*(G29-(G17-COMPONENTES!$D$15))*G34*G28),(2*(G29-(G17-COMPONENTES!$D15))*((2.5*G29)+G23)*G34))</f>
        <v>605.8806801217632</v>
      </c>
      <c r="H48" s="157">
        <f>IF((5*(H29-(H17-COMPONENTES!$D$15))*H34*H28)&lt;(2*(H29-(H17-COMPONENTES!$D$15))*((2.5*H29)+H23)*H34),(5*(H29-(H17-COMPONENTES!$D$15))*H34*H28),(2*(H29-(H17-COMPONENTES!$D15))*((2.5*H29)+H23)*H34))</f>
        <v>688.4953060039281</v>
      </c>
      <c r="I48" s="157">
        <f>IF((5*(I29-(I17-COMPONENTES!$D$15))*I34*I28)&lt;(2*(I29-(I17-COMPONENTES!$D$15))*((2.5*I29)+I23)*I34),(5*(I29-(I17-COMPONENTES!$D$15))*I34*I28),(2*(I29-(I17-COMPONENTES!$D15))*((2.5*I29)+I23)*I34))</f>
        <v>688.4953060039281</v>
      </c>
      <c r="J48" s="157">
        <f>IF((5*(J29-(J17-COMPONENTES!$D$15))*J34*J28)&lt;(2*(J29-(J17-COMPONENTES!$D$15))*((2.5*J29)+J23)*J34),(5*(J29-(J17-COMPONENTES!$D$15))*J34*J28),(2*(J29-(J17-COMPONENTES!$D15))*((2.5*J29)+J23)*J34))</f>
        <v>523.6869193648491</v>
      </c>
    </row>
    <row r="49" spans="2:10" ht="12.75">
      <c r="B49" s="221" t="s">
        <v>195</v>
      </c>
      <c r="C49" s="221"/>
      <c r="D49" s="221"/>
      <c r="E49" s="157">
        <f aca="true" t="shared" si="17" ref="E49:J49">2*E29*E34*E26</f>
        <v>0</v>
      </c>
      <c r="F49" s="157">
        <f t="shared" si="17"/>
        <v>0</v>
      </c>
      <c r="G49" s="157">
        <f t="shared" si="17"/>
        <v>0</v>
      </c>
      <c r="H49" s="157">
        <f t="shared" si="17"/>
        <v>0</v>
      </c>
      <c r="I49" s="157">
        <f t="shared" si="17"/>
        <v>0</v>
      </c>
      <c r="J49" s="157">
        <f t="shared" si="17"/>
        <v>0</v>
      </c>
    </row>
    <row r="50" spans="2:10" ht="12.75">
      <c r="B50" s="228" t="s">
        <v>201</v>
      </c>
      <c r="C50" s="228"/>
      <c r="D50" s="228"/>
      <c r="E50" s="157">
        <f aca="true" t="shared" si="18" ref="E50:J50">E27*E35</f>
        <v>9.999896934842207</v>
      </c>
      <c r="F50" s="157">
        <f t="shared" si="18"/>
        <v>0</v>
      </c>
      <c r="G50" s="157">
        <f t="shared" si="18"/>
        <v>0</v>
      </c>
      <c r="H50" s="157">
        <f t="shared" si="18"/>
        <v>0</v>
      </c>
      <c r="I50" s="157">
        <f t="shared" si="18"/>
        <v>0</v>
      </c>
      <c r="J50" s="157">
        <f t="shared" si="18"/>
        <v>0</v>
      </c>
    </row>
    <row r="51" spans="2:10" ht="12.75">
      <c r="B51" s="228" t="s">
        <v>202</v>
      </c>
      <c r="C51" s="228"/>
      <c r="D51" s="228"/>
      <c r="E51" s="157">
        <f aca="true" t="shared" si="19" ref="E51:J51">E27*E36</f>
        <v>9.999896934842207</v>
      </c>
      <c r="F51" s="157">
        <f t="shared" si="19"/>
        <v>0</v>
      </c>
      <c r="G51" s="157">
        <f t="shared" si="19"/>
        <v>0</v>
      </c>
      <c r="H51" s="157">
        <f t="shared" si="19"/>
        <v>0</v>
      </c>
      <c r="I51" s="157">
        <f t="shared" si="19"/>
        <v>0</v>
      </c>
      <c r="J51" s="157">
        <f t="shared" si="19"/>
        <v>0</v>
      </c>
    </row>
    <row r="52" spans="2:10" ht="12.75">
      <c r="B52" s="228" t="s">
        <v>197</v>
      </c>
      <c r="C52" s="228"/>
      <c r="D52" s="228"/>
      <c r="E52" s="157">
        <f aca="true" t="shared" si="20" ref="E52:J52">E44</f>
        <v>0</v>
      </c>
      <c r="F52" s="157">
        <f t="shared" si="20"/>
        <v>0</v>
      </c>
      <c r="G52" s="157">
        <f t="shared" si="20"/>
        <v>0</v>
      </c>
      <c r="H52" s="157">
        <f t="shared" si="20"/>
        <v>0</v>
      </c>
      <c r="I52" s="157">
        <f t="shared" si="20"/>
        <v>0</v>
      </c>
      <c r="J52" s="157">
        <f t="shared" si="20"/>
        <v>0</v>
      </c>
    </row>
    <row r="53" spans="2:10" ht="12.75">
      <c r="B53" s="221" t="s">
        <v>432</v>
      </c>
      <c r="C53" s="221"/>
      <c r="D53" s="221"/>
      <c r="E53" s="157">
        <f aca="true" t="shared" si="21" ref="E53:J53">(E24-E37-(2*E29))*E23*E36</f>
        <v>1712.3793511532988</v>
      </c>
      <c r="F53" s="157">
        <f t="shared" si="21"/>
        <v>1712.3793511532988</v>
      </c>
      <c r="G53" s="157">
        <f t="shared" si="21"/>
        <v>850.639732777812</v>
      </c>
      <c r="H53" s="157">
        <f t="shared" si="21"/>
        <v>7508.573111975143</v>
      </c>
      <c r="I53" s="157">
        <f t="shared" si="21"/>
        <v>5288.595992440171</v>
      </c>
      <c r="J53" s="157">
        <f t="shared" si="21"/>
        <v>2196.8338580638174</v>
      </c>
    </row>
    <row r="54" spans="2:10" ht="27.75" customHeight="1">
      <c r="B54" s="221" t="s">
        <v>203</v>
      </c>
      <c r="C54" s="221"/>
      <c r="D54" s="221"/>
      <c r="E54" s="157">
        <f aca="true" t="shared" si="22" ref="E54:J54">E47+E48+E49+E50+E51+E52+E53</f>
        <v>3681.946437466198</v>
      </c>
      <c r="F54" s="157">
        <f t="shared" si="22"/>
        <v>3661.9466435965137</v>
      </c>
      <c r="G54" s="157">
        <f t="shared" si="22"/>
        <v>1714.0715631104717</v>
      </c>
      <c r="H54" s="157">
        <f t="shared" si="22"/>
        <v>9953.929166300393</v>
      </c>
      <c r="I54" s="157">
        <f t="shared" si="22"/>
        <v>7634.689471803857</v>
      </c>
      <c r="J54" s="157">
        <f t="shared" si="22"/>
        <v>3251.368142186689</v>
      </c>
    </row>
    <row r="55" spans="2:10" ht="17.25" customHeight="1">
      <c r="B55" s="230" t="s">
        <v>437</v>
      </c>
      <c r="C55" s="231"/>
      <c r="D55" s="232"/>
      <c r="E55" s="236" t="str">
        <f aca="true" t="shared" si="23" ref="E55:J55">IF(E38&lt;E54,"Anel de Reforço OK!","Redimensionar Anel de Reforço")</f>
        <v>Anel de Reforço OK!</v>
      </c>
      <c r="F55" s="236" t="str">
        <f t="shared" si="23"/>
        <v>Anel de Reforço OK!</v>
      </c>
      <c r="G55" s="236" t="str">
        <f t="shared" si="23"/>
        <v>Anel de Reforço OK!</v>
      </c>
      <c r="H55" s="236" t="str">
        <f t="shared" si="23"/>
        <v>Anel de Reforço OK!</v>
      </c>
      <c r="I55" s="236" t="str">
        <f t="shared" si="23"/>
        <v>Anel de Reforço OK!</v>
      </c>
      <c r="J55" s="236" t="str">
        <f t="shared" si="23"/>
        <v>Anel de Reforço OK!</v>
      </c>
    </row>
    <row r="56" spans="2:10" ht="60" customHeight="1">
      <c r="B56" s="233"/>
      <c r="C56" s="234"/>
      <c r="D56" s="235"/>
      <c r="E56" s="236"/>
      <c r="F56" s="236"/>
      <c r="G56" s="236"/>
      <c r="H56" s="236"/>
      <c r="I56" s="236"/>
      <c r="J56" s="236"/>
    </row>
  </sheetData>
  <sheetProtection/>
  <mergeCells count="64">
    <mergeCell ref="B37:D37"/>
    <mergeCell ref="B9:D9"/>
    <mergeCell ref="H45:H46"/>
    <mergeCell ref="I45:I46"/>
    <mergeCell ref="B43:D43"/>
    <mergeCell ref="B44:D44"/>
    <mergeCell ref="B36:D36"/>
    <mergeCell ref="B39:D39"/>
    <mergeCell ref="B40:D40"/>
    <mergeCell ref="B17:D17"/>
    <mergeCell ref="J45:J46"/>
    <mergeCell ref="E55:E56"/>
    <mergeCell ref="F55:F56"/>
    <mergeCell ref="G55:G56"/>
    <mergeCell ref="H55:H56"/>
    <mergeCell ref="I55:I56"/>
    <mergeCell ref="J55:J56"/>
    <mergeCell ref="B55:D56"/>
    <mergeCell ref="E45:E46"/>
    <mergeCell ref="F45:F46"/>
    <mergeCell ref="G45:G46"/>
    <mergeCell ref="B54:D54"/>
    <mergeCell ref="B48:D48"/>
    <mergeCell ref="B53:D53"/>
    <mergeCell ref="B51:D51"/>
    <mergeCell ref="B52:D52"/>
    <mergeCell ref="B45:D46"/>
    <mergeCell ref="B49:D49"/>
    <mergeCell ref="B50:D50"/>
    <mergeCell ref="B27:D27"/>
    <mergeCell ref="B47:D47"/>
    <mergeCell ref="B41:D41"/>
    <mergeCell ref="B35:D35"/>
    <mergeCell ref="B34:D34"/>
    <mergeCell ref="B33:D33"/>
    <mergeCell ref="B38:D38"/>
    <mergeCell ref="B42:D42"/>
    <mergeCell ref="B19:D19"/>
    <mergeCell ref="B28:D28"/>
    <mergeCell ref="B25:D25"/>
    <mergeCell ref="B31:D31"/>
    <mergeCell ref="B30:D30"/>
    <mergeCell ref="B23:D23"/>
    <mergeCell ref="B24:D24"/>
    <mergeCell ref="B32:D32"/>
    <mergeCell ref="B29:D29"/>
    <mergeCell ref="B26:D26"/>
    <mergeCell ref="A2:D2"/>
    <mergeCell ref="B7:D7"/>
    <mergeCell ref="B8:D8"/>
    <mergeCell ref="B13:D13"/>
    <mergeCell ref="B12:D12"/>
    <mergeCell ref="B4:D4"/>
    <mergeCell ref="B5:D5"/>
    <mergeCell ref="B6:D6"/>
    <mergeCell ref="B10:D10"/>
    <mergeCell ref="B11:D11"/>
    <mergeCell ref="B22:J22"/>
    <mergeCell ref="B14:D14"/>
    <mergeCell ref="B20:D20"/>
    <mergeCell ref="B21:D21"/>
    <mergeCell ref="B15:D15"/>
    <mergeCell ref="B18:D18"/>
    <mergeCell ref="B16:J16"/>
  </mergeCells>
  <printOptions/>
  <pageMargins left="0.7874015748031497" right="0.7874015748031497" top="0.4724409448818898" bottom="0.5118110236220472" header="0.5118110236220472" footer="0.5118110236220472"/>
  <pageSetup fitToHeight="2" fitToWidth="1" horizontalDpi="600" verticalDpi="600" orientation="portrait" paperSize="9" scale="55" r:id="rId2"/>
  <rowBreaks count="1" manualBreakCount="1">
    <brk id="21" max="9" man="1"/>
  </rowBreaks>
  <colBreaks count="1" manualBreakCount="1">
    <brk id="1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A2:Y56"/>
  <sheetViews>
    <sheetView zoomScale="85" zoomScaleNormal="85" zoomScalePageLayoutView="0" workbookViewId="0" topLeftCell="A1">
      <selection activeCell="D64" sqref="D64"/>
    </sheetView>
  </sheetViews>
  <sheetFormatPr defaultColWidth="9.140625" defaultRowHeight="12.75"/>
  <cols>
    <col min="1" max="1" width="8.28125" style="0" customWidth="1"/>
    <col min="2" max="2" width="14.7109375" style="0" customWidth="1"/>
    <col min="3" max="3" width="17.421875" style="0" customWidth="1"/>
    <col min="4" max="4" width="12.57421875" style="0" customWidth="1"/>
    <col min="5" max="5" width="17.28125" style="0" customWidth="1"/>
    <col min="6" max="6" width="17.57421875" style="0" customWidth="1"/>
    <col min="7" max="10" width="17.28125" style="0" customWidth="1"/>
    <col min="19" max="19" width="14.7109375" style="0" customWidth="1"/>
    <col min="20" max="20" width="12.8515625" style="0" customWidth="1"/>
    <col min="21" max="21" width="15.57421875" style="0" customWidth="1"/>
    <col min="22" max="22" width="13.8515625" style="0" customWidth="1"/>
    <col min="23" max="23" width="11.140625" style="0" customWidth="1"/>
    <col min="24" max="24" width="16.8515625" style="0" customWidth="1"/>
    <col min="25" max="25" width="19.00390625" style="0" customWidth="1"/>
    <col min="26" max="26" width="24.7109375" style="0" customWidth="1"/>
  </cols>
  <sheetData>
    <row r="2" spans="1:5" ht="12.75">
      <c r="A2" s="229" t="s">
        <v>268</v>
      </c>
      <c r="B2" s="229"/>
      <c r="C2" s="229"/>
      <c r="D2" s="229"/>
      <c r="E2" s="36"/>
    </row>
    <row r="4" spans="2:10" ht="26.25" customHeight="1">
      <c r="B4" s="221" t="s">
        <v>160</v>
      </c>
      <c r="C4" s="221"/>
      <c r="D4" s="221"/>
      <c r="E4" s="40" t="s">
        <v>416</v>
      </c>
      <c r="F4" s="40" t="s">
        <v>417</v>
      </c>
      <c r="G4" s="40" t="s">
        <v>418</v>
      </c>
      <c r="H4" s="40" t="s">
        <v>419</v>
      </c>
      <c r="I4" s="40"/>
      <c r="J4" s="40"/>
    </row>
    <row r="5" spans="2:10" ht="21" customHeight="1">
      <c r="B5" s="221" t="s">
        <v>164</v>
      </c>
      <c r="C5" s="221"/>
      <c r="D5" s="221"/>
      <c r="E5" s="40" t="s">
        <v>410</v>
      </c>
      <c r="F5" s="40" t="s">
        <v>410</v>
      </c>
      <c r="G5" s="40" t="s">
        <v>410</v>
      </c>
      <c r="H5" s="40" t="s">
        <v>410</v>
      </c>
      <c r="I5" s="40"/>
      <c r="J5" s="40"/>
    </row>
    <row r="6" spans="2:25" ht="19.5" customHeight="1">
      <c r="B6" s="221" t="s">
        <v>157</v>
      </c>
      <c r="C6" s="221"/>
      <c r="D6" s="221"/>
      <c r="E6" s="2"/>
      <c r="F6" s="2"/>
      <c r="G6" s="1"/>
      <c r="H6" s="1"/>
      <c r="I6" s="1"/>
      <c r="J6" s="1"/>
      <c r="T6" s="17" t="s">
        <v>0</v>
      </c>
      <c r="U6" s="17" t="s">
        <v>0</v>
      </c>
      <c r="V6" s="17" t="s">
        <v>0</v>
      </c>
      <c r="W6" t="s">
        <v>0</v>
      </c>
      <c r="X6" t="s">
        <v>163</v>
      </c>
      <c r="Y6" t="s">
        <v>163</v>
      </c>
    </row>
    <row r="7" spans="2:20" ht="21" customHeight="1">
      <c r="B7" s="221" t="s">
        <v>161</v>
      </c>
      <c r="C7" s="221"/>
      <c r="D7" s="221"/>
      <c r="E7" s="158">
        <f>VLOOKUP('BANCO DE DADOS'!M3,'BANCO DE DADOS'!A3:C129,2,FALSE)</f>
        <v>168.3</v>
      </c>
      <c r="F7" s="158">
        <f>VLOOKUP('BANCO DE DADOS'!N3,'BANCO DE DADOS'!A3:C129,2,FALSE)</f>
        <v>114.3</v>
      </c>
      <c r="G7" s="158">
        <f>VLOOKUP('BANCO DE DADOS'!O3,'BANCO DE DADOS'!A3:C129,2,FALSE)</f>
        <v>508</v>
      </c>
      <c r="H7" s="158">
        <f>VLOOKUP('BANCO DE DADOS'!P3,'BANCO DE DADOS'!A3:C129,2,FALSE)</f>
        <v>273</v>
      </c>
      <c r="I7" s="158">
        <f>VLOOKUP('BANCO DE DADOS'!Q3,'BANCO DE DADOS'!A3:C129,2,FALSE)</f>
        <v>33.4</v>
      </c>
      <c r="J7" s="158">
        <f>VLOOKUP('BANCO DE DADOS'!R3,'BANCO DE DADOS'!A3:C129,2,FALSE)</f>
        <v>33.4</v>
      </c>
      <c r="T7" s="17"/>
    </row>
    <row r="8" spans="2:22" ht="24.75" customHeight="1">
      <c r="B8" s="221" t="s">
        <v>162</v>
      </c>
      <c r="C8" s="221"/>
      <c r="D8" s="221"/>
      <c r="E8" s="158">
        <f>VLOOKUP('BANCO DE DADOS'!M3,'BANCO DE DADOS'!A3:C129,3,FALSE)</f>
        <v>18.26</v>
      </c>
      <c r="F8" s="158">
        <f>VLOOKUP('BANCO DE DADOS'!N3,'BANCO DE DADOS'!A3:C129,3,FALSE)</f>
        <v>8.56</v>
      </c>
      <c r="G8" s="158">
        <f>VLOOKUP('BANCO DE DADOS'!O3,'BANCO DE DADOS'!A3:C129,3,FALSE)</f>
        <v>9.53</v>
      </c>
      <c r="H8" s="158">
        <f>VLOOKUP('BANCO DE DADOS'!P3,'BANCO DE DADOS'!A3:C129,3,FALSE)</f>
        <v>9.27</v>
      </c>
      <c r="I8" s="158">
        <f>VLOOKUP('BANCO DE DADOS'!Q3,'BANCO DE DADOS'!A3:C129,3,FALSE)</f>
        <v>4.55</v>
      </c>
      <c r="J8" s="158">
        <f>VLOOKUP('BANCO DE DADOS'!R3,'BANCO DE DADOS'!A3:C129,3,FALSE)</f>
        <v>4.55</v>
      </c>
      <c r="T8" s="146" t="s">
        <v>163</v>
      </c>
      <c r="U8" s="147">
        <f>COMPONENTES!D13*(COMPONENTES!D12+2*COMPONENTES!D15)*1/((2*COMPONENTES!D18*1)-(0.2*COMPONENTES!D13))</f>
        <v>15.399818376950384</v>
      </c>
      <c r="V8" s="147">
        <f>COMPONENTES!E42</f>
        <v>22.2</v>
      </c>
    </row>
    <row r="9" spans="2:22" ht="24.75" customHeight="1">
      <c r="B9" s="221" t="s">
        <v>422</v>
      </c>
      <c r="C9" s="221"/>
      <c r="D9" s="221"/>
      <c r="E9" s="158">
        <v>250</v>
      </c>
      <c r="F9" s="158">
        <v>250</v>
      </c>
      <c r="G9" s="158">
        <v>250</v>
      </c>
      <c r="H9" s="158">
        <v>250</v>
      </c>
      <c r="I9" s="158">
        <v>250</v>
      </c>
      <c r="J9" s="158">
        <v>250</v>
      </c>
      <c r="T9" s="146" t="s">
        <v>12</v>
      </c>
      <c r="U9" s="147">
        <f>(((COMPONENTES!D13+COMPONENTES!D35)*(COMPONENTES!D12+2*COMPONENTES!D15*1))/(2*COMPONENTES!D18*1-(0.2*(COMPONENTES!D13+COMPONENTES!D35))))</f>
        <v>15.586241947771743</v>
      </c>
      <c r="V9" s="147">
        <f>COMPONENTES!F42</f>
        <v>22.2</v>
      </c>
    </row>
    <row r="10" spans="2:22" ht="24.75" customHeight="1">
      <c r="B10" s="222" t="s">
        <v>334</v>
      </c>
      <c r="C10" s="223"/>
      <c r="D10" s="224"/>
      <c r="E10" s="157">
        <f>(PI()*0.25*((E7^2)-(E7-(2*E8))^2)*250*0.00000785)+(0.25*PI()*(E24^2-E7^2)*E23*0.00000785)+IF(COMPONENTES!$D$24="150#",VLOOKUP(E7,'BANCO DE DADOS'!$B3:$F129,4,FALSE),VLOOKUP(E7,'BANCO DE DADOS'!$B3:$F129,5,FALSE))</f>
        <v>32.36905994104376</v>
      </c>
      <c r="F10" s="157">
        <f>(PI()*0.25*((F7^2)-(F7-(2*F8))^2)*250*0.00000785)+(0.25*PI()*(F24^2-F7^2)*F23*0.00000785)+IF(COMPONENTES!$D$24="150#",VLOOKUP(F7,'BANCO DE DADOS'!$B3:$F129,4,FALSE),VLOOKUP(F7,'BANCO DE DADOS'!$B3:$F129,5,FALSE))</f>
        <v>15.22697065215549</v>
      </c>
      <c r="G10" s="157">
        <f>(PI()*0.25*((G7^2)-(G7-(2*G8))^2)*250*0.00000785)+(0.25*PI()*(G24^2-G7^2)*G23*0.00000785)+IF(COMPONENTES!$D$24="150#",VLOOKUP(G7,'BANCO DE DADOS'!$B3:$F129,4,FALSE),VLOOKUP(G7,'BANCO DE DADOS'!$B3:$F129,5,FALSE))</f>
        <v>151.56420925223557</v>
      </c>
      <c r="H10" s="157">
        <f>(PI()*0.25*((H7^2)-(H7-(2*H8))^2)*250*0.00000785)+(0.25*PI()*(H24^2-H7^2)*H23*0.00000785)+IF(COMPONENTES!$D$24="150#",VLOOKUP(H7,'BANCO DE DADOS'!$B3:$F129,4,FALSE),VLOOKUP(H7,'BANCO DE DADOS'!$B3:$F129,5,FALSE))</f>
        <v>50.77149916207644</v>
      </c>
      <c r="I10" s="157">
        <f>(PI()*0.25*((I7^2)-(I7-(2*I8))^2)*250*0.00000785)+(0.25*PI()*(I24^2-I7^2)*I23*0.00000785)+IF(COMPONENTES!$D$24="150#",VLOOKUP(I7,'BANCO DE DADOS'!$B3:$F129,4,FALSE),VLOOKUP(I7,'BANCO DE DADOS'!$B3:$F129,5,FALSE))</f>
        <v>1.7566252495510568</v>
      </c>
      <c r="J10" s="157">
        <f>(PI()*0.25*((J7^2)-(J7-(2*J8))^2)*250*0.00000785)+(0.25*PI()*(J24^2-J7^2)*J23*0.00000785)+IF(COMPONENTES!$D$24="150#",VLOOKUP(J7,'BANCO DE DADOS'!$B3:$F129,4,FALSE),VLOOKUP(J7,'BANCO DE DADOS'!$B3:$F129,5,FALSE))</f>
        <v>1.7566252495510568</v>
      </c>
      <c r="T10" s="146" t="s">
        <v>0</v>
      </c>
      <c r="U10" s="147">
        <f>((COMPONENTES!D13+COMPONENTES!D34)*((COMPONENTES!D12/2)+COMPONENTES!D15))/(COMPONENTES!D18*1-0.6*(COMPONENTES!D34+COMPONENTES!D13))</f>
        <v>15.603228521194698</v>
      </c>
      <c r="V10" s="147">
        <f>COMPONENTES!D42</f>
        <v>22.2</v>
      </c>
    </row>
    <row r="11" spans="2:10" ht="24.75" customHeight="1">
      <c r="B11" s="222" t="s">
        <v>335</v>
      </c>
      <c r="C11" s="223"/>
      <c r="D11" s="224"/>
      <c r="E11" s="157">
        <f aca="true" t="shared" si="0" ref="E11:J11">(PI()*0.25*((E7^2)-(E7-(2*E8))^2)*E9*0.000001)</f>
        <v>2.1517792243641565</v>
      </c>
      <c r="F11" s="157">
        <f t="shared" si="0"/>
        <v>0.7108908953878516</v>
      </c>
      <c r="G11" s="157">
        <f t="shared" si="0"/>
        <v>3.730970436508158</v>
      </c>
      <c r="H11" s="157">
        <f t="shared" si="0"/>
        <v>1.9201234442561392</v>
      </c>
      <c r="I11" s="157">
        <f t="shared" si="0"/>
        <v>0.10309725341377454</v>
      </c>
      <c r="J11" s="157">
        <f t="shared" si="0"/>
        <v>0.10309725341377454</v>
      </c>
    </row>
    <row r="12" spans="2:11" ht="27.75" customHeight="1">
      <c r="B12" s="221" t="s">
        <v>175</v>
      </c>
      <c r="C12" s="221"/>
      <c r="D12" s="221"/>
      <c r="E12" s="157">
        <f aca="true" t="shared" si="1" ref="E12:J12">E8*0.875</f>
        <v>15.977500000000001</v>
      </c>
      <c r="F12" s="157">
        <f t="shared" si="1"/>
        <v>7.49</v>
      </c>
      <c r="G12" s="157">
        <f t="shared" si="1"/>
        <v>8.33875</v>
      </c>
      <c r="H12" s="157">
        <f t="shared" si="1"/>
        <v>8.11125</v>
      </c>
      <c r="I12" s="157">
        <f t="shared" si="1"/>
        <v>3.9812499999999997</v>
      </c>
      <c r="J12" s="157">
        <f t="shared" si="1"/>
        <v>3.9812499999999997</v>
      </c>
      <c r="K12" s="4"/>
    </row>
    <row r="13" spans="2:11" ht="36" customHeight="1">
      <c r="B13" s="221" t="s">
        <v>421</v>
      </c>
      <c r="C13" s="221"/>
      <c r="D13" s="221"/>
      <c r="E13" s="157">
        <f>((E7-(2*E12))/2)+COMPONENTES!$D$15</f>
        <v>71.3725</v>
      </c>
      <c r="F13" s="157">
        <f>((F7-(2*F12))/2)+COMPONENTES!$D$15</f>
        <v>52.86</v>
      </c>
      <c r="G13" s="157">
        <f>((G7-(2*G12))/2)+COMPONENTES!$D$15</f>
        <v>248.86124999999998</v>
      </c>
      <c r="H13" s="157">
        <f>((H7-(2*H12))/2)+COMPONENTES!$D$15</f>
        <v>131.58874999999998</v>
      </c>
      <c r="I13" s="157">
        <f>((I7-(2*I12))/2)+COMPONENTES!$D$15</f>
        <v>15.91875</v>
      </c>
      <c r="J13" s="157">
        <f>((J7-(2*J12))/2)+COMPONENTES!$D$15</f>
        <v>15.91875</v>
      </c>
      <c r="K13" s="16"/>
    </row>
    <row r="14" spans="2:11" ht="20.25" customHeight="1">
      <c r="B14" s="221" t="s">
        <v>165</v>
      </c>
      <c r="C14" s="221"/>
      <c r="D14" s="221"/>
      <c r="E14" s="40">
        <v>970.25</v>
      </c>
      <c r="F14" s="40">
        <v>970.25</v>
      </c>
      <c r="G14" s="40">
        <v>970.25</v>
      </c>
      <c r="H14" s="40">
        <v>970.25</v>
      </c>
      <c r="I14" s="40">
        <v>970.25</v>
      </c>
      <c r="J14" s="40">
        <v>970.25</v>
      </c>
      <c r="K14" s="4"/>
    </row>
    <row r="15" spans="2:10" ht="23.25" customHeight="1">
      <c r="B15" s="221" t="s">
        <v>166</v>
      </c>
      <c r="C15" s="221"/>
      <c r="D15" s="221"/>
      <c r="E15" s="1"/>
      <c r="F15" s="1"/>
      <c r="G15" s="1"/>
      <c r="H15" s="1"/>
      <c r="I15" s="1"/>
      <c r="J15" s="57"/>
    </row>
    <row r="16" spans="2:10" ht="42" customHeight="1">
      <c r="B16" s="250" t="s">
        <v>167</v>
      </c>
      <c r="C16" s="251"/>
      <c r="D16" s="251"/>
      <c r="E16" s="251"/>
      <c r="F16" s="251"/>
      <c r="G16" s="251"/>
      <c r="H16" s="251"/>
      <c r="I16" s="251"/>
      <c r="J16" s="252"/>
    </row>
    <row r="17" spans="2:10" ht="42" customHeight="1">
      <c r="B17" s="188" t="s">
        <v>433</v>
      </c>
      <c r="C17" s="221"/>
      <c r="D17" s="221"/>
      <c r="E17" s="157">
        <f>(COMPONENTES!$E$56*E13)/(E14-(0.6*COMPONENTES!$E$56))+COMPONENTES!$D$15</f>
        <v>4.558030780073146</v>
      </c>
      <c r="F17" s="157">
        <f>(COMPONENTES!$E$56*F13)/(F14-(0.6*COMPONENTES!$E$56))+COMPONENTES!$D$15</f>
        <v>4.205786640998515</v>
      </c>
      <c r="G17" s="157">
        <f>(COMPONENTES!$E$56*G13)/(G14-(0.6*COMPONENTES!$E$56))+COMPONENTES!$D$15</f>
        <v>7.93517443647733</v>
      </c>
      <c r="H17" s="157">
        <f>(COMPONENTES!$E$56*H13)/(H14-(0.6*COMPONENTES!$E$56))+COMPONENTES!$D$15</f>
        <v>5.703787492540547</v>
      </c>
      <c r="I17" s="157">
        <f>(COMPONENTES!$E$56*I13)/(I14-(0.6*COMPONENTES!$E$56))+COMPONENTES!$D$15</f>
        <v>3.502891904869374</v>
      </c>
      <c r="J17" s="157">
        <f>(COMPONENTES!$E$56*J13)/(J14-(0.6*COMPONENTES!$E$56))+COMPONENTES!$D$15</f>
        <v>3.502891904869374</v>
      </c>
    </row>
    <row r="18" spans="2:10" ht="39" customHeight="1">
      <c r="B18" s="188" t="s">
        <v>434</v>
      </c>
      <c r="C18" s="227"/>
      <c r="D18" s="227"/>
      <c r="E18" s="157">
        <f>(VLOOKUP(T6,T7:U10,2,FALSE))+COMPONENTES!D15</f>
        <v>18.803228521194697</v>
      </c>
      <c r="F18" s="157">
        <f>(VLOOKUP(U6,T7:U10,2,FALSE))+COMPONENTES!D15</f>
        <v>18.803228521194697</v>
      </c>
      <c r="G18" s="157">
        <f>(VLOOKUP(V6,T7:U10,2,FALSE))+COMPONENTES!D15</f>
        <v>18.803228521194697</v>
      </c>
      <c r="H18" s="157">
        <f>(VLOOKUP(W6,T7:U10,2,FALSE))+COMPONENTES!D15</f>
        <v>18.803228521194697</v>
      </c>
      <c r="I18" s="157">
        <f>(VLOOKUP(X6,T7:U10,2,FALSE))+COMPONENTES!D15</f>
        <v>18.599818376950385</v>
      </c>
      <c r="J18" s="157">
        <f>(VLOOKUP(Y6,T7:U10,2,FALSE))+COMPONENTES!D15</f>
        <v>18.599818376950385</v>
      </c>
    </row>
    <row r="19" spans="2:10" ht="43.5" customHeight="1">
      <c r="B19" s="188" t="s">
        <v>435</v>
      </c>
      <c r="C19" s="227"/>
      <c r="D19" s="227"/>
      <c r="E19" s="159">
        <f>((VLOOKUP('BANCO DE DADOS'!G3,'BANCO DE DADOS'!A3:D129,4,FALSE))*0.875)+COMPONENTES!D15</f>
        <v>9.42125</v>
      </c>
      <c r="F19" s="157">
        <f>((VLOOKUP('BANCO DE DADOS'!H3,'BANCO DE DADOS'!A3:D129,4,FALSE))*0.875)+COMPONENTES!D15</f>
        <v>9.42125</v>
      </c>
      <c r="G19" s="157">
        <f>((VLOOKUP('BANCO DE DADOS'!I3,'BANCO DE DADOS'!A3:D129,4,FALSE))*0.875)+COMPONENTES!D15</f>
        <v>8.00375</v>
      </c>
      <c r="H19" s="157">
        <f>((VLOOKUP('BANCO DE DADOS'!J3,'BANCO DE DADOS'!A3:D129,4,FALSE))*0.875)+COMPONENTES!D15</f>
        <v>11.53875</v>
      </c>
      <c r="I19" s="157">
        <f>((VLOOKUP('BANCO DE DADOS'!K3,'BANCO DE DADOS'!A3:D129,4,FALSE))*0.875)+COMPONENTES!D15</f>
        <v>11.53875</v>
      </c>
      <c r="J19" s="157">
        <f>((VLOOKUP('BANCO DE DADOS'!L3,'BANCO DE DADOS'!A3:D129,4,FALSE))*0.875)+COMPONENTES!D15</f>
        <v>9.42125</v>
      </c>
    </row>
    <row r="20" spans="2:10" ht="44.25" customHeight="1">
      <c r="B20" s="221" t="s">
        <v>174</v>
      </c>
      <c r="C20" s="221"/>
      <c r="D20" s="221"/>
      <c r="E20" s="157">
        <f aca="true" t="shared" si="2" ref="E20:J20">IF(E18&lt;E19,IF(E18&gt;E17,E18,E17),IF(E19&gt;E17,E19,E17))</f>
        <v>9.42125</v>
      </c>
      <c r="F20" s="157">
        <f t="shared" si="2"/>
        <v>9.42125</v>
      </c>
      <c r="G20" s="157">
        <f t="shared" si="2"/>
        <v>8.00375</v>
      </c>
      <c r="H20" s="157">
        <f t="shared" si="2"/>
        <v>11.53875</v>
      </c>
      <c r="I20" s="157">
        <f t="shared" si="2"/>
        <v>11.53875</v>
      </c>
      <c r="J20" s="157">
        <f t="shared" si="2"/>
        <v>9.42125</v>
      </c>
    </row>
    <row r="21" spans="2:10" ht="45" customHeight="1">
      <c r="B21" s="226" t="s">
        <v>222</v>
      </c>
      <c r="C21" s="226"/>
      <c r="D21" s="226"/>
      <c r="E21" s="160" t="str">
        <f aca="true" t="shared" si="3" ref="E21:J21">IF(E12&gt;E20,"OK","ESCOLHER OUTRO SCH")</f>
        <v>OK</v>
      </c>
      <c r="F21" s="160" t="str">
        <f t="shared" si="3"/>
        <v>ESCOLHER OUTRO SCH</v>
      </c>
      <c r="G21" s="160" t="str">
        <f t="shared" si="3"/>
        <v>OK</v>
      </c>
      <c r="H21" s="160" t="str">
        <f t="shared" si="3"/>
        <v>ESCOLHER OUTRO SCH</v>
      </c>
      <c r="I21" s="160" t="str">
        <f t="shared" si="3"/>
        <v>ESCOLHER OUTRO SCH</v>
      </c>
      <c r="J21" s="160" t="str">
        <f t="shared" si="3"/>
        <v>ESCOLHER OUTRO SCH</v>
      </c>
    </row>
    <row r="22" spans="2:10" s="4" customFormat="1" ht="22.5" customHeight="1">
      <c r="B22" s="244" t="s">
        <v>182</v>
      </c>
      <c r="C22" s="245"/>
      <c r="D22" s="245"/>
      <c r="E22" s="245"/>
      <c r="F22" s="245"/>
      <c r="G22" s="245"/>
      <c r="H22" s="245"/>
      <c r="I22" s="245"/>
      <c r="J22" s="246"/>
    </row>
    <row r="23" spans="2:10" s="4" customFormat="1" ht="22.5" customHeight="1">
      <c r="B23" s="243" t="s">
        <v>187</v>
      </c>
      <c r="C23" s="243"/>
      <c r="D23" s="243"/>
      <c r="E23" s="21">
        <v>22.2</v>
      </c>
      <c r="F23" s="21">
        <v>22.2</v>
      </c>
      <c r="G23" s="21">
        <v>22.2</v>
      </c>
      <c r="H23" s="21">
        <v>22.2</v>
      </c>
      <c r="I23" s="21">
        <v>22.2</v>
      </c>
      <c r="J23" s="21">
        <v>22.2</v>
      </c>
    </row>
    <row r="24" spans="2:10" s="4" customFormat="1" ht="22.5" customHeight="1">
      <c r="B24" s="243" t="s">
        <v>188</v>
      </c>
      <c r="C24" s="243"/>
      <c r="D24" s="243"/>
      <c r="E24" s="21">
        <v>250</v>
      </c>
      <c r="F24" s="21">
        <v>180</v>
      </c>
      <c r="G24" s="21">
        <v>800</v>
      </c>
      <c r="H24" s="21">
        <v>400</v>
      </c>
      <c r="I24" s="21"/>
      <c r="J24" s="21"/>
    </row>
    <row r="25" spans="2:10" s="4" customFormat="1" ht="22.5" customHeight="1">
      <c r="B25" s="181" t="s">
        <v>190</v>
      </c>
      <c r="C25" s="181"/>
      <c r="D25" s="181"/>
      <c r="E25" s="21">
        <v>970.25</v>
      </c>
      <c r="F25" s="21">
        <v>970.25</v>
      </c>
      <c r="G25" s="21">
        <v>970.25</v>
      </c>
      <c r="H25" s="21">
        <v>970.25</v>
      </c>
      <c r="I25" s="21">
        <v>970.25</v>
      </c>
      <c r="J25" s="21">
        <v>970.25</v>
      </c>
    </row>
    <row r="26" spans="2:10" s="4" customFormat="1" ht="22.5" customHeight="1">
      <c r="B26" s="181" t="s">
        <v>194</v>
      </c>
      <c r="C26" s="181"/>
      <c r="D26" s="181"/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</row>
    <row r="27" spans="2:10" ht="16.5" customHeight="1">
      <c r="B27" s="181" t="s">
        <v>198</v>
      </c>
      <c r="C27" s="181"/>
      <c r="D27" s="181"/>
      <c r="E27" s="21">
        <v>10</v>
      </c>
      <c r="F27" s="21">
        <v>10</v>
      </c>
      <c r="G27" s="21">
        <v>10</v>
      </c>
      <c r="H27" s="21">
        <v>10</v>
      </c>
      <c r="I27" s="21">
        <v>10</v>
      </c>
      <c r="J27" s="21">
        <v>10</v>
      </c>
    </row>
    <row r="28" spans="2:10" ht="16.5" customHeight="1">
      <c r="B28" s="243" t="s">
        <v>183</v>
      </c>
      <c r="C28" s="243"/>
      <c r="D28" s="243"/>
      <c r="E28" s="157">
        <f>(VLOOKUP(T6,T7:V10,3,FALSE))-COMPONENTES!D15</f>
        <v>19</v>
      </c>
      <c r="F28" s="157">
        <f>(VLOOKUP(U6,T7:V10,3,FALSE))-COMPONENTES!D15</f>
        <v>19</v>
      </c>
      <c r="G28" s="157">
        <f>(VLOOKUP(V6,T7:V10,3,FALSE))-COMPONENTES!D15</f>
        <v>19</v>
      </c>
      <c r="H28" s="157">
        <f>(VLOOKUP(W6,T7:V10,3,FALSE))-COMPONENTES!D15</f>
        <v>19</v>
      </c>
      <c r="I28" s="157">
        <f>(VLOOKUP(X6,T7:V10,3,FALSE))-COMPONENTES!D15</f>
        <v>19</v>
      </c>
      <c r="J28" s="157">
        <f>(VLOOKUP(Y6,T7:V10,3,FALSE))-COMPONENTES!D15</f>
        <v>19</v>
      </c>
    </row>
    <row r="29" spans="2:10" ht="23.25" customHeight="1">
      <c r="B29" s="243" t="s">
        <v>184</v>
      </c>
      <c r="C29" s="243"/>
      <c r="D29" s="243"/>
      <c r="E29" s="157">
        <f>VLOOKUP('BANCO DE DADOS'!G3,'BANCO DE DADOS'!A3:C129,3,FALSE)-COMPONENTES!D15</f>
        <v>15.060000000000002</v>
      </c>
      <c r="F29" s="157">
        <f>VLOOKUP('BANCO DE DADOS'!H3,'BANCO DE DADOS'!A3:C129,3,FALSE)-COMPONENTES!D15</f>
        <v>15.060000000000002</v>
      </c>
      <c r="G29" s="157">
        <f>VLOOKUP('BANCO DE DADOS'!I3,'BANCO DE DADOS'!A3:C129,3,FALSE)-COMPONENTES!D15</f>
        <v>7.930000000000001</v>
      </c>
      <c r="H29" s="157">
        <f>VLOOKUP('BANCO DE DADOS'!J3,'BANCO DE DADOS'!A3:C129,3,FALSE)-COMPONENTES!D15</f>
        <v>11.89</v>
      </c>
      <c r="I29" s="157">
        <f>VLOOKUP('BANCO DE DADOS'!K3,'BANCO DE DADOS'!A3:C129,3,FALSE)-COMPONENTES!D15</f>
        <v>11.89</v>
      </c>
      <c r="J29" s="157">
        <f>VLOOKUP('BANCO DE DADOS'!L3,'BANCO DE DADOS'!A3:C129,3,FALSE)-COMPONENTES!D15</f>
        <v>7.7700000000000005</v>
      </c>
    </row>
    <row r="30" spans="2:10" ht="27" customHeight="1">
      <c r="B30" s="221" t="s">
        <v>185</v>
      </c>
      <c r="C30" s="221"/>
      <c r="D30" s="221"/>
      <c r="E30" s="157">
        <f aca="true" t="shared" si="4" ref="E30:J30">IF((2*E13)&gt;(E13+E28+E29),(2*E13),(E13+E28+E29))</f>
        <v>142.745</v>
      </c>
      <c r="F30" s="157">
        <f t="shared" si="4"/>
        <v>105.72</v>
      </c>
      <c r="G30" s="157">
        <f t="shared" si="4"/>
        <v>497.72249999999997</v>
      </c>
      <c r="H30" s="157">
        <f t="shared" si="4"/>
        <v>263.17749999999995</v>
      </c>
      <c r="I30" s="157">
        <f t="shared" si="4"/>
        <v>46.80875</v>
      </c>
      <c r="J30" s="157">
        <f t="shared" si="4"/>
        <v>42.688750000000006</v>
      </c>
    </row>
    <row r="31" spans="2:10" ht="30.75" customHeight="1">
      <c r="B31" s="221" t="s">
        <v>186</v>
      </c>
      <c r="C31" s="221"/>
      <c r="D31" s="221"/>
      <c r="E31" s="157">
        <f aca="true" t="shared" si="5" ref="E31:J31">IF((2.5*E28)&lt;((2.5*E29)+E23),(2.5*E28),((2.5*E29)+E23))</f>
        <v>47.5</v>
      </c>
      <c r="F31" s="157">
        <f t="shared" si="5"/>
        <v>47.5</v>
      </c>
      <c r="G31" s="157">
        <f t="shared" si="5"/>
        <v>42.025000000000006</v>
      </c>
      <c r="H31" s="157">
        <f t="shared" si="5"/>
        <v>47.5</v>
      </c>
      <c r="I31" s="157">
        <f t="shared" si="5"/>
        <v>47.5</v>
      </c>
      <c r="J31" s="157">
        <f t="shared" si="5"/>
        <v>41.625</v>
      </c>
    </row>
    <row r="32" spans="2:10" ht="29.25" customHeight="1">
      <c r="B32" s="226" t="s">
        <v>205</v>
      </c>
      <c r="C32" s="226"/>
      <c r="D32" s="226"/>
      <c r="E32" s="160" t="str">
        <f aca="true" t="shared" si="6" ref="E32:J32">IF(E24&lt;2*E30,"OK","REVER Dext do reforço")</f>
        <v>OK</v>
      </c>
      <c r="F32" s="160" t="str">
        <f t="shared" si="6"/>
        <v>OK</v>
      </c>
      <c r="G32" s="160" t="str">
        <f t="shared" si="6"/>
        <v>OK</v>
      </c>
      <c r="H32" s="160" t="str">
        <f t="shared" si="6"/>
        <v>OK</v>
      </c>
      <c r="I32" s="160" t="str">
        <f t="shared" si="6"/>
        <v>OK</v>
      </c>
      <c r="J32" s="160" t="str">
        <f t="shared" si="6"/>
        <v>OK</v>
      </c>
    </row>
    <row r="33" spans="2:10" ht="18" customHeight="1">
      <c r="B33" s="221" t="s">
        <v>189</v>
      </c>
      <c r="C33" s="221"/>
      <c r="D33" s="221"/>
      <c r="E33" s="157">
        <f>COMPONENTES!D17</f>
        <v>970.26</v>
      </c>
      <c r="F33" s="157">
        <f>COMPONENTES!D17</f>
        <v>970.26</v>
      </c>
      <c r="G33" s="157">
        <f>COMPONENTES!D17</f>
        <v>970.26</v>
      </c>
      <c r="H33" s="157">
        <f>COMPONENTES!D17</f>
        <v>970.26</v>
      </c>
      <c r="I33" s="157">
        <f>COMPONENTES!D17</f>
        <v>970.26</v>
      </c>
      <c r="J33" s="157">
        <f>COMPONENTES!D17</f>
        <v>970.26</v>
      </c>
    </row>
    <row r="34" spans="2:10" ht="18" customHeight="1">
      <c r="B34" s="228" t="s">
        <v>191</v>
      </c>
      <c r="C34" s="228"/>
      <c r="D34" s="228"/>
      <c r="E34" s="157">
        <f aca="true" t="shared" si="7" ref="E34:J34">E14/E33</f>
        <v>0.9999896934842207</v>
      </c>
      <c r="F34" s="157">
        <f t="shared" si="7"/>
        <v>0.9999896934842207</v>
      </c>
      <c r="G34" s="157">
        <f t="shared" si="7"/>
        <v>0.9999896934842207</v>
      </c>
      <c r="H34" s="157">
        <f t="shared" si="7"/>
        <v>0.9999896934842207</v>
      </c>
      <c r="I34" s="157">
        <f t="shared" si="7"/>
        <v>0.9999896934842207</v>
      </c>
      <c r="J34" s="157">
        <f t="shared" si="7"/>
        <v>0.9999896934842207</v>
      </c>
    </row>
    <row r="35" spans="2:10" ht="17.25" customHeight="1">
      <c r="B35" s="228" t="s">
        <v>192</v>
      </c>
      <c r="C35" s="228"/>
      <c r="D35" s="228"/>
      <c r="E35" s="157">
        <f aca="true" t="shared" si="8" ref="E35:J35">IF(E34&lt;E36,E34,E36)</f>
        <v>0.9999896934842207</v>
      </c>
      <c r="F35" s="157">
        <f t="shared" si="8"/>
        <v>0.9999896934842207</v>
      </c>
      <c r="G35" s="157">
        <f t="shared" si="8"/>
        <v>0.9999896934842207</v>
      </c>
      <c r="H35" s="157">
        <f t="shared" si="8"/>
        <v>0.9999896934842207</v>
      </c>
      <c r="I35" s="157">
        <f t="shared" si="8"/>
        <v>0.9999896934842207</v>
      </c>
      <c r="J35" s="157">
        <f t="shared" si="8"/>
        <v>0.9999896934842207</v>
      </c>
    </row>
    <row r="36" spans="2:10" ht="15.75" customHeight="1">
      <c r="B36" s="228" t="s">
        <v>193</v>
      </c>
      <c r="C36" s="228"/>
      <c r="D36" s="228"/>
      <c r="E36" s="157">
        <f aca="true" t="shared" si="9" ref="E36:J36">E25/E33</f>
        <v>0.9999896934842207</v>
      </c>
      <c r="F36" s="157">
        <f t="shared" si="9"/>
        <v>0.9999896934842207</v>
      </c>
      <c r="G36" s="157">
        <f t="shared" si="9"/>
        <v>0.9999896934842207</v>
      </c>
      <c r="H36" s="157">
        <f t="shared" si="9"/>
        <v>0.9999896934842207</v>
      </c>
      <c r="I36" s="157">
        <f t="shared" si="9"/>
        <v>0.9999896934842207</v>
      </c>
      <c r="J36" s="157">
        <f t="shared" si="9"/>
        <v>0.9999896934842207</v>
      </c>
    </row>
    <row r="37" spans="2:10" ht="17.25" customHeight="1">
      <c r="B37" s="247" t="s">
        <v>427</v>
      </c>
      <c r="C37" s="248"/>
      <c r="D37" s="249"/>
      <c r="E37" s="157">
        <f aca="true" t="shared" si="10" ref="E37:J37">2*E13</f>
        <v>142.745</v>
      </c>
      <c r="F37" s="157">
        <f t="shared" si="10"/>
        <v>105.72</v>
      </c>
      <c r="G37" s="157">
        <f t="shared" si="10"/>
        <v>497.72249999999997</v>
      </c>
      <c r="H37" s="157">
        <f t="shared" si="10"/>
        <v>263.17749999999995</v>
      </c>
      <c r="I37" s="157">
        <f t="shared" si="10"/>
        <v>31.8375</v>
      </c>
      <c r="J37" s="157">
        <f t="shared" si="10"/>
        <v>31.8375</v>
      </c>
    </row>
    <row r="38" spans="2:10" ht="39" customHeight="1">
      <c r="B38" s="221" t="s">
        <v>436</v>
      </c>
      <c r="C38" s="221"/>
      <c r="D38" s="221"/>
      <c r="E38" s="157">
        <f>(E37*(E18-COMPONENTES!$D$15))+(2*(E18-COMPONENTES!$D$15)*E29*(1-E34))</f>
        <v>2227.2876990033565</v>
      </c>
      <c r="F38" s="157">
        <f>(F37*(F18-COMPONENTES!$D$15))+(2*(F18-COMPONENTES!$D$15)*F29*(1-F34))</f>
        <v>1649.5781630061226</v>
      </c>
      <c r="G38" s="157">
        <f>(G37*(G18-COMPONENTES!$D$15))+(2*(G18-COMPONENTES!$D$15)*G29*(1-G34))</f>
        <v>7766.0804581649745</v>
      </c>
      <c r="H38" s="157">
        <f>(H37*(H18-COMPONENTES!$D$15))+(2*(H18-COMPONENTES!$D$15)*H29*(1-H34))</f>
        <v>4106.422498315537</v>
      </c>
      <c r="I38" s="157">
        <f>(I37*(I18-COMPONENTES!$D$15))+(2*(I18-COMPONENTES!$D$15)*I29*(1-I34))</f>
        <v>490.2954919014006</v>
      </c>
      <c r="J38" s="157">
        <f>(J37*(J18-COMPONENTES!$D$15))+(2*(J18-COMPONENTES!$D$15)*J29*(1-J34))</f>
        <v>490.29418406119873</v>
      </c>
    </row>
    <row r="39" spans="2:10" ht="41.25" customHeight="1">
      <c r="B39" s="221" t="s">
        <v>199</v>
      </c>
      <c r="C39" s="221"/>
      <c r="D39" s="221"/>
      <c r="E39" s="157">
        <f aca="true" t="shared" si="11" ref="E39:J39">E40+E41+E42+E43+E44</f>
        <v>1616.61770805053</v>
      </c>
      <c r="F39" s="157">
        <f t="shared" si="11"/>
        <v>1517.3759543502274</v>
      </c>
      <c r="G39" s="157">
        <f t="shared" si="11"/>
        <v>1917.321534484778</v>
      </c>
      <c r="H39" s="157">
        <f t="shared" si="11"/>
        <v>1551.9565451267222</v>
      </c>
      <c r="I39" s="157">
        <f t="shared" si="11"/>
        <v>1011.2637842309732</v>
      </c>
      <c r="J39" s="157">
        <f t="shared" si="11"/>
        <v>582.8462764346664</v>
      </c>
    </row>
    <row r="40" spans="2:10" ht="40.5" customHeight="1">
      <c r="B40" s="221" t="s">
        <v>429</v>
      </c>
      <c r="C40" s="221"/>
      <c r="D40" s="221"/>
      <c r="E40" s="157">
        <f>IF(E37*(E28-(E18-COMPONENTES!$D$15))-(2*E29*(E28-(E18-COMPONENTES!$D$15))*(1-E34))&gt;(2*(E28+E29)*(E28-(E18-COMPONENTES!$D$15)))-(2*E29*(E28-(E18-COMPONENTES!$D$15))*(1-E34)),E37*(E28-(E18-COMPONENTES!$D$15))-(2*E29*(E28-(E18-COMPONENTES!$D$15))*(1-E34)),(2*(E28+E29)*(E28-(E18-COMPONENTES!$D$15)))-(2*E29*(E28-(E18-COMPONENTES!$D$15))*(1-E34)))</f>
        <v>484.8710902746321</v>
      </c>
      <c r="F40" s="157">
        <f>IF(F37*(F28-(F18-COMPONENTES!$D$15))-(2*F29*(F28-(F18-COMPONENTES!$D$15))*(1-F34))&gt;(2*(F28+F29)*(F28-(F18-COMPONENTES!$D$15)))-(2*F29*(F28-(F18-COMPONENTES!$D$15))*(1-F34)),F37*(F28-(F18-COMPONENTES!$D$15))-(2*F29*(F28-(F18-COMPONENTES!$D$15))*(1-F34)),(2*(F28+F29)*(F28-(F18-COMPONENTES!$D$15)))-(2*F29*(F28-(F18-COMPONENTES!$D$15))*(1-F34)))</f>
        <v>359.10562627186573</v>
      </c>
      <c r="G40" s="157">
        <f>IF(G37*(G28-(G18-COMPONENTES!$D$15))-(2*G29*(G28-(G18-COMPONENTES!$D$15))*(1-G34))&gt;(2*(G28+G29)*(G28-(G18-COMPONENTES!$D$15)))-(2*G29*(G28-(G18-COMPONENTES!$D$15))*(1-G34)),G37*(G28-(G18-COMPONENTES!$D$15))-(2*G29*(G28-(G18-COMPONENTES!$D$15))*(1-G34)),(2*(G28+G29)*(G28-(G18-COMPONENTES!$D$15)))-(2*G29*(G28-(G18-COMPONENTES!$D$15))*(1-G34)))</f>
        <v>1690.6490371188534</v>
      </c>
      <c r="H40" s="157">
        <f>IF(H37*(H28-(H18-COMPONENTES!$D$15))-(2*H29*(H28-(H18-COMPONENTES!$D$15))*(1-H34))&gt;(2*(H28+H29)*(H28-(H18-COMPONENTES!$D$15)))-(2*H29*(H28-(H18-COMPONENTES!$D$15))*(1-H34)),H37*(H28-(H18-COMPONENTES!$D$15))-(2*H29*(H28-(H18-COMPONENTES!$D$15))*(1-H34)),(2*(H28+H29)*(H28-(H18-COMPONENTES!$D$15)))-(2*H29*(H28-(H18-COMPONENTES!$D$15))*(1-H34)))</f>
        <v>893.9529933521434</v>
      </c>
      <c r="I40" s="157">
        <f>IF(I37*(I28-(I18-COMPONENTES!$D$15))-(2*I29*(I28-(I18-COMPONENTES!$D$15))*(1-I34))&gt;(2*(I28+I29)*(I28-(I18-COMPONENTES!$D$15)))-(2*I29*(I28-(I18-COMPONENTES!$D$15))*(1-I34)),I37*(I28-(I18-COMPONENTES!$D$15))-(2*I29*(I28-(I18-COMPONENTES!$D$15))*(1-I34)),(2*(I28+I29)*(I28-(I18-COMPONENTES!$D$15)))-(2*I29*(I28-(I18-COMPONENTES!$D$15))*(1-I34)))</f>
        <v>222.41833830728856</v>
      </c>
      <c r="J40" s="157">
        <f>IF(J37*(J28-(J18-COMPONENTES!$D$15))-(2*J29*(J28-(J18-COMPONENTES!$D$15))*(1-J34))&gt;(2*(J28+J29)*(J28-(J18-COMPONENTES!$D$15)))-(2*J29*(J28-(J18-COMPONENTES!$D$15))*(1-J34)),J37*(J28-(J18-COMPONENTES!$D$15))-(2*J29*(J28-(J18-COMPONENTES!$D$15))*(1-J34)),(2*(J28+J29)*(J28-(J18-COMPONENTES!$D$15)))-(2*J29*(J28-(J18-COMPONENTES!$D$15))*(1-J34)))</f>
        <v>192.75314748126826</v>
      </c>
    </row>
    <row r="41" spans="2:10" ht="27" customHeight="1">
      <c r="B41" s="221" t="s">
        <v>430</v>
      </c>
      <c r="C41" s="221"/>
      <c r="D41" s="221"/>
      <c r="E41" s="157">
        <f>IF((5*(E29-(E17-COMPONENTES!$D$15))*E34*E28)&lt;(5*(E29-(E17-COMPONENTES!$D$15))*E34*E29),(5*(E29-(E17-COMPONENTES!$D$15))*E34*E28),(5*(E29-(E17-COMPONENTES!$D$15))*E34*E29))</f>
        <v>1031.7476484274757</v>
      </c>
      <c r="F41" s="157">
        <f>IF((5*(F29-(F17-COMPONENTES!$D$15))*F34*F28)&lt;(5*(F29-(F17-COMPONENTES!$D$15))*F34*F29),(5*(F29-(F17-COMPONENTES!$D$15))*F34*F28),(5*(F29-(F17-COMPONENTES!$D$15))*F34*F29))</f>
        <v>1058.2713587299395</v>
      </c>
      <c r="G41" s="157">
        <f>IF((5*(G29-(G17-COMPONENTES!D15))*G34*G28)&lt;(5*(G29-(G17-COMPONENTES!D15))*G34*G29),(5*(G29-(G17-COMPONENTES!D15))*G34*G28),(5*(G29-(G17-COMPONENTES!D15))*G34*G29))</f>
        <v>126.67352801750265</v>
      </c>
      <c r="H41" s="157">
        <f>IF((5*(H29-(H17-COMPONENTES!D15))*H34*H28)&lt;(5*(H29-(H17-COMPONENTES!D15))*H34*H29),(5*(H29-(H17-COMPONENTES!D15))*H34*H28),(5*(H29-(H17-COMPONENTES!D15))*H34*H29))</f>
        <v>558.0045824261567</v>
      </c>
      <c r="I41" s="157">
        <f>IF((5*(I29-(I17-COMPONENTES!D15))*I34*I28)&lt;(5*(I29-(I17-COMPONENTES!D15))*I34*I29),(5*(I29-(I17-COMPONENTES!D15))*I34*I28),(5*(I29-(I17-COMPONENTES!D15))*I34*I29))</f>
        <v>688.8464765752626</v>
      </c>
      <c r="J41" s="157">
        <f>IF((5*(J29-(J17-COMPONENTES!D15))*J34*J28)&lt;(5*(J29-(J17-COMPONENTES!D15))*J34*J29),(5*(J29-(J17-COMPONENTES!D15))*J34*J28),(5*(J29-(J17-COMPONENTES!D15))*J34*J29))</f>
        <v>290.094159604976</v>
      </c>
    </row>
    <row r="42" spans="2:10" ht="17.25" customHeight="1">
      <c r="B42" s="221" t="s">
        <v>195</v>
      </c>
      <c r="C42" s="221"/>
      <c r="D42" s="221"/>
      <c r="E42" s="157">
        <f aca="true" t="shared" si="12" ref="E42:J42">2*E29*E34*E26</f>
        <v>0</v>
      </c>
      <c r="F42" s="157">
        <f t="shared" si="12"/>
        <v>0</v>
      </c>
      <c r="G42" s="157">
        <f t="shared" si="12"/>
        <v>0</v>
      </c>
      <c r="H42" s="157">
        <f t="shared" si="12"/>
        <v>0</v>
      </c>
      <c r="I42" s="157">
        <f t="shared" si="12"/>
        <v>0</v>
      </c>
      <c r="J42" s="157">
        <f t="shared" si="12"/>
        <v>0</v>
      </c>
    </row>
    <row r="43" spans="2:10" ht="12.75" customHeight="1">
      <c r="B43" s="228" t="s">
        <v>196</v>
      </c>
      <c r="C43" s="228"/>
      <c r="D43" s="228"/>
      <c r="E43" s="157">
        <f aca="true" t="shared" si="13" ref="E43:J43">E27^2*E34</f>
        <v>99.99896934842208</v>
      </c>
      <c r="F43" s="157">
        <f t="shared" si="13"/>
        <v>99.99896934842208</v>
      </c>
      <c r="G43" s="157">
        <f t="shared" si="13"/>
        <v>99.99896934842208</v>
      </c>
      <c r="H43" s="157">
        <f t="shared" si="13"/>
        <v>99.99896934842208</v>
      </c>
      <c r="I43" s="157">
        <f t="shared" si="13"/>
        <v>99.99896934842208</v>
      </c>
      <c r="J43" s="157">
        <f t="shared" si="13"/>
        <v>99.99896934842208</v>
      </c>
    </row>
    <row r="44" spans="2:10" ht="15.75" customHeight="1">
      <c r="B44" s="228" t="s">
        <v>197</v>
      </c>
      <c r="C44" s="228"/>
      <c r="D44" s="228"/>
      <c r="E44" s="157">
        <f aca="true" t="shared" si="14" ref="E44:J44">IF(E26=0,0,E27^2*E34)</f>
        <v>0</v>
      </c>
      <c r="F44" s="157">
        <f t="shared" si="14"/>
        <v>0</v>
      </c>
      <c r="G44" s="157">
        <f t="shared" si="14"/>
        <v>0</v>
      </c>
      <c r="H44" s="157">
        <f t="shared" si="14"/>
        <v>0</v>
      </c>
      <c r="I44" s="157">
        <f t="shared" si="14"/>
        <v>0</v>
      </c>
      <c r="J44" s="157">
        <f t="shared" si="14"/>
        <v>0</v>
      </c>
    </row>
    <row r="45" spans="2:10" ht="12.75">
      <c r="B45" s="242" t="s">
        <v>204</v>
      </c>
      <c r="C45" s="242"/>
      <c r="D45" s="242"/>
      <c r="E45" s="241" t="str">
        <f aca="true" t="shared" si="15" ref="E45:J45">IF(E38&lt;E39,"OK!","Calcular Anel de Reforço")</f>
        <v>Calcular Anel de Reforço</v>
      </c>
      <c r="F45" s="241" t="str">
        <f t="shared" si="15"/>
        <v>Calcular Anel de Reforço</v>
      </c>
      <c r="G45" s="241" t="str">
        <f t="shared" si="15"/>
        <v>Calcular Anel de Reforço</v>
      </c>
      <c r="H45" s="241" t="str">
        <f t="shared" si="15"/>
        <v>Calcular Anel de Reforço</v>
      </c>
      <c r="I45" s="241" t="str">
        <f t="shared" si="15"/>
        <v>OK!</v>
      </c>
      <c r="J45" s="241" t="str">
        <f t="shared" si="15"/>
        <v>OK!</v>
      </c>
    </row>
    <row r="46" spans="2:10" ht="31.5" customHeight="1">
      <c r="B46" s="242"/>
      <c r="C46" s="242"/>
      <c r="D46" s="242"/>
      <c r="E46" s="241"/>
      <c r="F46" s="241"/>
      <c r="G46" s="241"/>
      <c r="H46" s="241"/>
      <c r="I46" s="241"/>
      <c r="J46" s="241"/>
    </row>
    <row r="47" spans="2:10" ht="12.75">
      <c r="B47" s="228" t="s">
        <v>200</v>
      </c>
      <c r="C47" s="228"/>
      <c r="D47" s="228"/>
      <c r="E47" s="157">
        <f aca="true" t="shared" si="16" ref="E47:J47">E40</f>
        <v>484.8710902746321</v>
      </c>
      <c r="F47" s="157">
        <f t="shared" si="16"/>
        <v>359.10562627186573</v>
      </c>
      <c r="G47" s="157">
        <f t="shared" si="16"/>
        <v>1690.6490371188534</v>
      </c>
      <c r="H47" s="157">
        <f t="shared" si="16"/>
        <v>893.9529933521434</v>
      </c>
      <c r="I47" s="157">
        <f t="shared" si="16"/>
        <v>222.41833830728856</v>
      </c>
      <c r="J47" s="157">
        <f t="shared" si="16"/>
        <v>192.75314748126826</v>
      </c>
    </row>
    <row r="48" spans="2:10" ht="32.25" customHeight="1">
      <c r="B48" s="221" t="s">
        <v>431</v>
      </c>
      <c r="C48" s="221"/>
      <c r="D48" s="221"/>
      <c r="E48" s="157">
        <f>IF((5*(E29-(E17-COMPONENTES!$D$15))*E34*E28)&lt;(2*(E29-(E17-COMPONENTES!$D$15))*((2.5*E29)+E23)*E34),(5*(E29-(E17-COMPONENTES!$D$15))*E34*E28),(2*(E29-(E17-COMPONENTES!$D15))*((2.5*E29)+E23)*E34))</f>
        <v>1301.6736600346637</v>
      </c>
      <c r="F48" s="157">
        <f>IF((5*(F29-(F17-COMPONENTES!$D$15))*F34*F28)&lt;(2*(F29-(F17-COMPONENTES!$D$15))*((2.5*F29)+F23)*F34),(5*(F29-(F17-COMPONENTES!$D$15))*F34*F28),(2*(F29-(F17-COMPONENTES!$D15))*((2.5*F29)+F23)*F34))</f>
        <v>1335.1365083578253</v>
      </c>
      <c r="G48" s="157">
        <f>IF((5*(G29-(G17-COMPONENTES!$D$15))*G34*G28)&lt;(2*(G29-(G17-COMPONENTES!$D$15))*((2.5*G29)+G23)*G34),(5*(G29-(G17-COMPONENTES!$D$15))*G34*G28),(2*(G29-(G17-COMPONENTES!$D15))*((2.5*G29)+G23)*G34))</f>
        <v>268.5223210560176</v>
      </c>
      <c r="H48" s="157">
        <f>IF((5*(H29-(H17-COMPONENTES!$D$15))*H34*H28)&lt;(2*(H29-(H17-COMPONENTES!$D$15))*((2.5*H29)+H23)*H34),(5*(H29-(H17-COMPONENTES!$D$15))*H34*H28),(2*(H29-(H17-COMPONENTES!$D15))*((2.5*H29)+H23)*H34))</f>
        <v>891.6809979896532</v>
      </c>
      <c r="I48" s="157">
        <f>IF((5*(I29-(I17-COMPONENTES!$D$15))*I34*I28)&lt;(2*(I29-(I17-COMPONENTES!$D$15))*((2.5*I29)+I23)*I34),(5*(I29-(I17-COMPONENTES!$D$15))*I34*I28),(2*(I29-(I17-COMPONENTES!$D15))*((2.5*I29)+I23)*I34))</f>
        <v>1100.7639238797299</v>
      </c>
      <c r="J48" s="157">
        <f>IF((5*(J29-(J17-COMPONENTES!$D$15))*J34*J28)&lt;(2*(J29-(J17-COMPONENTES!$D$15))*((2.5*J29)+J23)*J34),(5*(J29-(J17-COMPONENTES!$D$15))*J34*J28),(2*(J29-(J17-COMPONENTES!$D15))*((2.5*J29)+J23)*J34))</f>
        <v>621.630342010663</v>
      </c>
    </row>
    <row r="49" spans="2:10" ht="12.75">
      <c r="B49" s="221" t="s">
        <v>195</v>
      </c>
      <c r="C49" s="221"/>
      <c r="D49" s="221"/>
      <c r="E49" s="157">
        <f aca="true" t="shared" si="17" ref="E49:J49">2*E29*E34*E26</f>
        <v>0</v>
      </c>
      <c r="F49" s="157">
        <f t="shared" si="17"/>
        <v>0</v>
      </c>
      <c r="G49" s="157">
        <f t="shared" si="17"/>
        <v>0</v>
      </c>
      <c r="H49" s="157">
        <f t="shared" si="17"/>
        <v>0</v>
      </c>
      <c r="I49" s="157">
        <f t="shared" si="17"/>
        <v>0</v>
      </c>
      <c r="J49" s="157">
        <f t="shared" si="17"/>
        <v>0</v>
      </c>
    </row>
    <row r="50" spans="2:10" ht="12.75">
      <c r="B50" s="228" t="s">
        <v>201</v>
      </c>
      <c r="C50" s="228"/>
      <c r="D50" s="228"/>
      <c r="E50" s="157">
        <f aca="true" t="shared" si="18" ref="E50:J50">E27*E35</f>
        <v>9.999896934842207</v>
      </c>
      <c r="F50" s="157">
        <f t="shared" si="18"/>
        <v>9.999896934842207</v>
      </c>
      <c r="G50" s="157">
        <f t="shared" si="18"/>
        <v>9.999896934842207</v>
      </c>
      <c r="H50" s="157">
        <f t="shared" si="18"/>
        <v>9.999896934842207</v>
      </c>
      <c r="I50" s="157">
        <f t="shared" si="18"/>
        <v>9.999896934842207</v>
      </c>
      <c r="J50" s="157">
        <f t="shared" si="18"/>
        <v>9.999896934842207</v>
      </c>
    </row>
    <row r="51" spans="2:10" ht="12.75">
      <c r="B51" s="228" t="s">
        <v>202</v>
      </c>
      <c r="C51" s="228"/>
      <c r="D51" s="228"/>
      <c r="E51" s="157">
        <f aca="true" t="shared" si="19" ref="E51:J51">E27*E36</f>
        <v>9.999896934842207</v>
      </c>
      <c r="F51" s="157">
        <f t="shared" si="19"/>
        <v>9.999896934842207</v>
      </c>
      <c r="G51" s="157">
        <f t="shared" si="19"/>
        <v>9.999896934842207</v>
      </c>
      <c r="H51" s="157">
        <f t="shared" si="19"/>
        <v>9.999896934842207</v>
      </c>
      <c r="I51" s="157">
        <f t="shared" si="19"/>
        <v>9.999896934842207</v>
      </c>
      <c r="J51" s="157">
        <f t="shared" si="19"/>
        <v>9.999896934842207</v>
      </c>
    </row>
    <row r="52" spans="2:10" ht="15" customHeight="1">
      <c r="B52" s="228" t="s">
        <v>197</v>
      </c>
      <c r="C52" s="228"/>
      <c r="D52" s="228"/>
      <c r="E52" s="157">
        <f aca="true" t="shared" si="20" ref="E52:J52">E27*E34</f>
        <v>9.999896934842207</v>
      </c>
      <c r="F52" s="157">
        <f t="shared" si="20"/>
        <v>9.999896934842207</v>
      </c>
      <c r="G52" s="157">
        <f t="shared" si="20"/>
        <v>9.999896934842207</v>
      </c>
      <c r="H52" s="157">
        <f t="shared" si="20"/>
        <v>9.999896934842207</v>
      </c>
      <c r="I52" s="157">
        <f t="shared" si="20"/>
        <v>9.999896934842207</v>
      </c>
      <c r="J52" s="157">
        <f t="shared" si="20"/>
        <v>9.999896934842207</v>
      </c>
    </row>
    <row r="53" spans="2:10" ht="12.75" customHeight="1">
      <c r="B53" s="221" t="s">
        <v>432</v>
      </c>
      <c r="C53" s="221"/>
      <c r="D53" s="221"/>
      <c r="E53" s="157">
        <f aca="true" t="shared" si="21" ref="E53:J53">(E24-E37-(2*E29))*E23*E36</f>
        <v>1712.3793511532988</v>
      </c>
      <c r="F53" s="157">
        <f t="shared" si="21"/>
        <v>980.3418959866426</v>
      </c>
      <c r="G53" s="157">
        <f t="shared" si="21"/>
        <v>6358.402966344072</v>
      </c>
      <c r="H53" s="157">
        <f t="shared" si="21"/>
        <v>2509.51763535032</v>
      </c>
      <c r="I53" s="157">
        <f t="shared" si="21"/>
        <v>-1234.695774457362</v>
      </c>
      <c r="J53" s="157">
        <f t="shared" si="21"/>
        <v>-1051.7696598076802</v>
      </c>
    </row>
    <row r="54" spans="2:10" ht="39" customHeight="1">
      <c r="B54" s="221" t="s">
        <v>203</v>
      </c>
      <c r="C54" s="221"/>
      <c r="D54" s="221"/>
      <c r="E54" s="157">
        <f aca="true" t="shared" si="22" ref="E54:J54">E47+E48+E49+E50+E51+E52+E53</f>
        <v>3528.923792267121</v>
      </c>
      <c r="F54" s="157">
        <f t="shared" si="22"/>
        <v>2704.58372142086</v>
      </c>
      <c r="G54" s="157">
        <f t="shared" si="22"/>
        <v>8347.57401532347</v>
      </c>
      <c r="H54" s="157">
        <f t="shared" si="22"/>
        <v>4325.151317496642</v>
      </c>
      <c r="I54" s="157">
        <f t="shared" si="22"/>
        <v>118.48617853418295</v>
      </c>
      <c r="J54" s="157">
        <f t="shared" si="22"/>
        <v>-207.38647951122232</v>
      </c>
    </row>
    <row r="55" spans="2:10" ht="12.75">
      <c r="B55" s="230" t="s">
        <v>438</v>
      </c>
      <c r="C55" s="231"/>
      <c r="D55" s="232"/>
      <c r="E55" s="241" t="str">
        <f aca="true" t="shared" si="23" ref="E55:J55">IF(E38&lt;E54,"Anel de Reforço OK!","Redimensionar Anel de Reforço")</f>
        <v>Anel de Reforço OK!</v>
      </c>
      <c r="F55" s="241" t="str">
        <f t="shared" si="23"/>
        <v>Anel de Reforço OK!</v>
      </c>
      <c r="G55" s="241" t="str">
        <f t="shared" si="23"/>
        <v>Anel de Reforço OK!</v>
      </c>
      <c r="H55" s="241" t="str">
        <f t="shared" si="23"/>
        <v>Anel de Reforço OK!</v>
      </c>
      <c r="I55" s="241" t="str">
        <f t="shared" si="23"/>
        <v>Redimensionar Anel de Reforço</v>
      </c>
      <c r="J55" s="241" t="str">
        <f t="shared" si="23"/>
        <v>Redimensionar Anel de Reforço</v>
      </c>
    </row>
    <row r="56" spans="2:10" ht="51" customHeight="1">
      <c r="B56" s="233"/>
      <c r="C56" s="234"/>
      <c r="D56" s="235"/>
      <c r="E56" s="241"/>
      <c r="F56" s="241"/>
      <c r="G56" s="241"/>
      <c r="H56" s="241"/>
      <c r="I56" s="241"/>
      <c r="J56" s="241"/>
    </row>
  </sheetData>
  <sheetProtection/>
  <mergeCells count="64">
    <mergeCell ref="B9:D9"/>
    <mergeCell ref="B37:D37"/>
    <mergeCell ref="B14:D14"/>
    <mergeCell ref="B20:D20"/>
    <mergeCell ref="B21:D21"/>
    <mergeCell ref="B15:D15"/>
    <mergeCell ref="B18:D18"/>
    <mergeCell ref="B16:J16"/>
    <mergeCell ref="B17:D17"/>
    <mergeCell ref="B19:D19"/>
    <mergeCell ref="A2:D2"/>
    <mergeCell ref="B7:D7"/>
    <mergeCell ref="B8:D8"/>
    <mergeCell ref="B13:D13"/>
    <mergeCell ref="B12:D12"/>
    <mergeCell ref="B4:D4"/>
    <mergeCell ref="B5:D5"/>
    <mergeCell ref="B6:D6"/>
    <mergeCell ref="B10:D10"/>
    <mergeCell ref="B11:D11"/>
    <mergeCell ref="B22:J22"/>
    <mergeCell ref="B23:D23"/>
    <mergeCell ref="B24:D24"/>
    <mergeCell ref="B27:D27"/>
    <mergeCell ref="B31:D31"/>
    <mergeCell ref="B30:D30"/>
    <mergeCell ref="B29:D29"/>
    <mergeCell ref="B41:D41"/>
    <mergeCell ref="B35:D35"/>
    <mergeCell ref="B34:D34"/>
    <mergeCell ref="B28:D28"/>
    <mergeCell ref="B25:D25"/>
    <mergeCell ref="B26:D26"/>
    <mergeCell ref="B32:D32"/>
    <mergeCell ref="B45:D46"/>
    <mergeCell ref="B49:D49"/>
    <mergeCell ref="B50:D50"/>
    <mergeCell ref="B47:D47"/>
    <mergeCell ref="B33:D33"/>
    <mergeCell ref="B38:D38"/>
    <mergeCell ref="B42:D42"/>
    <mergeCell ref="B36:D36"/>
    <mergeCell ref="B39:D39"/>
    <mergeCell ref="B40:D40"/>
    <mergeCell ref="J55:J56"/>
    <mergeCell ref="B55:D56"/>
    <mergeCell ref="E45:E46"/>
    <mergeCell ref="F45:F46"/>
    <mergeCell ref="G45:G46"/>
    <mergeCell ref="B54:D54"/>
    <mergeCell ref="B48:D48"/>
    <mergeCell ref="B53:D53"/>
    <mergeCell ref="B51:D51"/>
    <mergeCell ref="B52:D52"/>
    <mergeCell ref="H45:H46"/>
    <mergeCell ref="I45:I46"/>
    <mergeCell ref="J45:J46"/>
    <mergeCell ref="B43:D43"/>
    <mergeCell ref="B44:D44"/>
    <mergeCell ref="E55:E56"/>
    <mergeCell ref="F55:F56"/>
    <mergeCell ref="G55:G56"/>
    <mergeCell ref="H55:H56"/>
    <mergeCell ref="I55:I56"/>
  </mergeCells>
  <printOptions/>
  <pageMargins left="0.7874015748031497" right="0.7874015748031497" top="0.4724409448818898" bottom="0.5118110236220472" header="0.5118110236220472" footer="0.5118110236220472"/>
  <pageSetup fitToHeight="2" fitToWidth="1" horizontalDpi="600" verticalDpi="600" orientation="portrait" paperSize="9" scale="55" r:id="rId2"/>
  <rowBreaks count="1" manualBreakCount="1">
    <brk id="20" max="9" man="1"/>
  </rowBreaks>
  <colBreaks count="1" manualBreakCount="1">
    <brk id="1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R239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6.140625" style="9" customWidth="1"/>
    <col min="2" max="2" width="13.8515625" style="9" customWidth="1"/>
    <col min="3" max="3" width="7.7109375" style="9" customWidth="1"/>
    <col min="4" max="6" width="11.421875" style="9" customWidth="1"/>
    <col min="7" max="7" width="12.8515625" style="12" customWidth="1"/>
    <col min="8" max="8" width="10.28125" style="12" customWidth="1"/>
    <col min="9" max="9" width="11.140625" style="12" customWidth="1"/>
    <col min="10" max="10" width="13.8515625" style="12" customWidth="1"/>
    <col min="11" max="11" width="11.421875" style="12" customWidth="1"/>
    <col min="12" max="12" width="12.421875" style="12" customWidth="1"/>
    <col min="13" max="13" width="9.421875" style="12" customWidth="1"/>
    <col min="14" max="14" width="7.8515625" style="12" customWidth="1"/>
    <col min="15" max="15" width="5.421875" style="12" customWidth="1"/>
    <col min="16" max="16" width="6.00390625" style="12" customWidth="1"/>
    <col min="17" max="17" width="6.28125" style="12" customWidth="1"/>
    <col min="18" max="18" width="5.8515625" style="12" customWidth="1"/>
    <col min="19" max="22" width="7.140625" style="12" customWidth="1"/>
    <col min="23" max="16384" width="9.140625" style="12" customWidth="1"/>
  </cols>
  <sheetData>
    <row r="1" spans="1:6" ht="12.75">
      <c r="A1" s="9" t="s">
        <v>157</v>
      </c>
      <c r="B1" s="9" t="s">
        <v>159</v>
      </c>
      <c r="C1" s="9" t="s">
        <v>158</v>
      </c>
      <c r="D1" s="9" t="s">
        <v>168</v>
      </c>
      <c r="E1" s="9" t="s">
        <v>332</v>
      </c>
      <c r="F1" s="9" t="s">
        <v>23</v>
      </c>
    </row>
    <row r="2" spans="7:12" ht="12.75">
      <c r="G2" s="12" t="s">
        <v>176</v>
      </c>
      <c r="H2" s="12" t="s">
        <v>177</v>
      </c>
      <c r="I2" s="12" t="s">
        <v>178</v>
      </c>
      <c r="J2" s="12" t="s">
        <v>179</v>
      </c>
      <c r="K2" s="12" t="s">
        <v>180</v>
      </c>
      <c r="L2" s="12" t="s">
        <v>181</v>
      </c>
    </row>
    <row r="3" spans="1:18" ht="12.75">
      <c r="A3" s="10" t="s">
        <v>35</v>
      </c>
      <c r="B3" s="9">
        <v>33.4</v>
      </c>
      <c r="C3" s="9">
        <v>4.55</v>
      </c>
      <c r="D3" s="9">
        <v>3.38</v>
      </c>
      <c r="E3" s="9">
        <v>1.1</v>
      </c>
      <c r="F3" s="9">
        <v>2</v>
      </c>
      <c r="G3" s="13" t="s">
        <v>53</v>
      </c>
      <c r="H3" s="12" t="s">
        <v>53</v>
      </c>
      <c r="I3" s="12" t="s">
        <v>45</v>
      </c>
      <c r="J3" s="12" t="s">
        <v>121</v>
      </c>
      <c r="K3" s="12" t="s">
        <v>121</v>
      </c>
      <c r="L3" s="12" t="s">
        <v>51</v>
      </c>
      <c r="M3" s="12" t="s">
        <v>53</v>
      </c>
      <c r="N3" s="12" t="s">
        <v>47</v>
      </c>
      <c r="O3" s="12" t="s">
        <v>120</v>
      </c>
      <c r="P3" s="12" t="s">
        <v>169</v>
      </c>
      <c r="Q3" s="12" t="s">
        <v>35</v>
      </c>
      <c r="R3" s="12" t="s">
        <v>35</v>
      </c>
    </row>
    <row r="4" spans="1:6" ht="12.75">
      <c r="A4" s="10" t="s">
        <v>36</v>
      </c>
      <c r="B4" s="9">
        <v>33.4</v>
      </c>
      <c r="C4" s="9">
        <v>6.35</v>
      </c>
      <c r="D4" s="9">
        <v>3.38</v>
      </c>
      <c r="E4" s="9">
        <v>1.1</v>
      </c>
      <c r="F4" s="9">
        <v>2</v>
      </c>
    </row>
    <row r="5" spans="1:6" ht="12.75">
      <c r="A5" s="10" t="s">
        <v>37</v>
      </c>
      <c r="B5" s="18">
        <v>33.4</v>
      </c>
      <c r="C5" s="9">
        <v>9.09</v>
      </c>
      <c r="D5" s="9">
        <v>3.38</v>
      </c>
      <c r="E5" s="9">
        <v>1.1</v>
      </c>
      <c r="F5" s="9">
        <v>2</v>
      </c>
    </row>
    <row r="6" spans="1:6" ht="12.75">
      <c r="A6" s="10" t="s">
        <v>38</v>
      </c>
      <c r="B6" s="18">
        <v>48.3</v>
      </c>
      <c r="C6" s="9">
        <v>5.08</v>
      </c>
      <c r="D6" s="15">
        <v>3.68</v>
      </c>
      <c r="E6" s="15">
        <v>1.8</v>
      </c>
      <c r="F6" s="15">
        <v>3.5</v>
      </c>
    </row>
    <row r="7" spans="1:6" ht="12.75">
      <c r="A7" s="10" t="s">
        <v>39</v>
      </c>
      <c r="B7" s="9">
        <v>48.3</v>
      </c>
      <c r="C7" s="9">
        <v>7.14</v>
      </c>
      <c r="D7" s="15">
        <v>3.68</v>
      </c>
      <c r="E7" s="15">
        <v>1.8</v>
      </c>
      <c r="F7" s="15">
        <v>3.5</v>
      </c>
    </row>
    <row r="8" spans="1:6" ht="12.75">
      <c r="A8" s="10" t="s">
        <v>40</v>
      </c>
      <c r="B8" s="18">
        <v>48.3</v>
      </c>
      <c r="C8" s="9">
        <v>10.15</v>
      </c>
      <c r="D8" s="15">
        <v>3.68</v>
      </c>
      <c r="E8" s="15">
        <v>1.8</v>
      </c>
      <c r="F8" s="15">
        <v>3.5</v>
      </c>
    </row>
    <row r="9" spans="1:6" ht="12.75">
      <c r="A9" s="10" t="s">
        <v>41</v>
      </c>
      <c r="B9" s="18">
        <v>60.3</v>
      </c>
      <c r="C9" s="9">
        <v>5.54</v>
      </c>
      <c r="D9" s="9">
        <v>3.91</v>
      </c>
      <c r="E9" s="9">
        <v>2.7</v>
      </c>
      <c r="F9" s="9">
        <v>4</v>
      </c>
    </row>
    <row r="10" spans="1:6" ht="12.75">
      <c r="A10" s="10" t="s">
        <v>42</v>
      </c>
      <c r="B10" s="18">
        <v>60.3</v>
      </c>
      <c r="C10" s="9">
        <v>8.74</v>
      </c>
      <c r="D10" s="9">
        <v>3.91</v>
      </c>
      <c r="E10" s="9">
        <v>2.7</v>
      </c>
      <c r="F10" s="9">
        <v>4</v>
      </c>
    </row>
    <row r="11" spans="1:6" ht="12.75">
      <c r="A11" s="10" t="s">
        <v>43</v>
      </c>
      <c r="B11" s="18">
        <v>60.3</v>
      </c>
      <c r="C11" s="9">
        <v>11.07</v>
      </c>
      <c r="D11" s="9">
        <v>3.91</v>
      </c>
      <c r="E11" s="9">
        <v>2.7</v>
      </c>
      <c r="F11" s="9">
        <v>4</v>
      </c>
    </row>
    <row r="12" spans="1:6" ht="12.75">
      <c r="A12" s="10" t="s">
        <v>171</v>
      </c>
      <c r="B12" s="18">
        <v>88.9</v>
      </c>
      <c r="C12" s="9">
        <v>6.02</v>
      </c>
      <c r="D12" s="9">
        <v>5.49</v>
      </c>
      <c r="E12" s="9">
        <v>4.5</v>
      </c>
      <c r="F12" s="9">
        <v>7</v>
      </c>
    </row>
    <row r="13" spans="1:6" ht="12.75">
      <c r="A13" s="10" t="s">
        <v>44</v>
      </c>
      <c r="B13" s="18">
        <v>88.9</v>
      </c>
      <c r="C13" s="9">
        <v>7.62</v>
      </c>
      <c r="D13" s="9">
        <v>5.49</v>
      </c>
      <c r="E13" s="9">
        <v>4.5</v>
      </c>
      <c r="F13" s="9">
        <v>7</v>
      </c>
    </row>
    <row r="14" spans="1:6" ht="12.75">
      <c r="A14" s="10" t="s">
        <v>45</v>
      </c>
      <c r="B14" s="18">
        <v>88.9</v>
      </c>
      <c r="C14" s="9">
        <v>11.13</v>
      </c>
      <c r="D14" s="9">
        <v>5.49</v>
      </c>
      <c r="E14" s="9">
        <v>4.5</v>
      </c>
      <c r="F14" s="9">
        <v>7</v>
      </c>
    </row>
    <row r="15" spans="1:6" ht="12.75">
      <c r="A15" s="10" t="s">
        <v>46</v>
      </c>
      <c r="B15" s="18">
        <v>88.9</v>
      </c>
      <c r="C15" s="9">
        <v>15.24</v>
      </c>
      <c r="D15" s="9">
        <v>5.49</v>
      </c>
      <c r="E15" s="9">
        <v>4.5</v>
      </c>
      <c r="F15" s="9">
        <v>7</v>
      </c>
    </row>
    <row r="16" spans="1:6" ht="12.75">
      <c r="A16" s="10" t="s">
        <v>172</v>
      </c>
      <c r="B16" s="18">
        <v>114.3</v>
      </c>
      <c r="C16" s="9">
        <v>6.02</v>
      </c>
      <c r="D16" s="9">
        <v>6.02</v>
      </c>
      <c r="E16" s="9">
        <v>7</v>
      </c>
      <c r="F16" s="9">
        <v>11</v>
      </c>
    </row>
    <row r="17" spans="1:6" ht="12.75">
      <c r="A17" s="10" t="s">
        <v>47</v>
      </c>
      <c r="B17" s="18">
        <v>114.3</v>
      </c>
      <c r="C17" s="9">
        <v>8.56</v>
      </c>
      <c r="D17" s="9">
        <v>6.02</v>
      </c>
      <c r="E17" s="9">
        <v>7</v>
      </c>
      <c r="F17" s="9">
        <v>11</v>
      </c>
    </row>
    <row r="18" spans="1:6" ht="12.75">
      <c r="A18" s="10" t="s">
        <v>48</v>
      </c>
      <c r="B18" s="18">
        <v>114.3</v>
      </c>
      <c r="C18" s="9">
        <v>11.13</v>
      </c>
      <c r="D18" s="9">
        <v>6.02</v>
      </c>
      <c r="E18" s="9">
        <v>7</v>
      </c>
      <c r="F18" s="9">
        <v>11</v>
      </c>
    </row>
    <row r="19" spans="1:6" ht="12.75">
      <c r="A19" s="10" t="s">
        <v>49</v>
      </c>
      <c r="B19" s="18">
        <v>114.3</v>
      </c>
      <c r="C19" s="9">
        <v>13.49</v>
      </c>
      <c r="D19" s="9">
        <v>6.02</v>
      </c>
      <c r="E19" s="9">
        <v>7</v>
      </c>
      <c r="F19" s="9">
        <v>11</v>
      </c>
    </row>
    <row r="20" spans="1:6" ht="12.75">
      <c r="A20" s="10" t="s">
        <v>50</v>
      </c>
      <c r="B20" s="18">
        <v>114.3</v>
      </c>
      <c r="C20" s="9">
        <v>17.12</v>
      </c>
      <c r="D20" s="9">
        <v>6.02</v>
      </c>
      <c r="E20" s="9">
        <v>7</v>
      </c>
      <c r="F20" s="9">
        <v>11</v>
      </c>
    </row>
    <row r="21" spans="1:6" ht="12.75">
      <c r="A21" s="10" t="s">
        <v>173</v>
      </c>
      <c r="B21" s="18">
        <v>168.3</v>
      </c>
      <c r="C21" s="9">
        <v>7.11</v>
      </c>
      <c r="D21" s="9">
        <v>7.11</v>
      </c>
      <c r="E21" s="9">
        <v>10.8</v>
      </c>
      <c r="F21" s="9">
        <v>19</v>
      </c>
    </row>
    <row r="22" spans="1:6" ht="12.75">
      <c r="A22" s="10" t="s">
        <v>51</v>
      </c>
      <c r="B22" s="18">
        <v>168.3</v>
      </c>
      <c r="C22" s="9">
        <v>10.97</v>
      </c>
      <c r="D22" s="9">
        <v>7.11</v>
      </c>
      <c r="E22" s="9">
        <v>10.8</v>
      </c>
      <c r="F22" s="9">
        <v>19</v>
      </c>
    </row>
    <row r="23" spans="1:6" ht="12.75">
      <c r="A23" s="10" t="s">
        <v>52</v>
      </c>
      <c r="B23" s="18">
        <v>168.3</v>
      </c>
      <c r="C23" s="9">
        <v>14.27</v>
      </c>
      <c r="D23" s="9">
        <v>7.11</v>
      </c>
      <c r="E23" s="9">
        <v>10.8</v>
      </c>
      <c r="F23" s="9">
        <v>19</v>
      </c>
    </row>
    <row r="24" spans="1:6" ht="12.75">
      <c r="A24" s="10" t="s">
        <v>53</v>
      </c>
      <c r="B24" s="18">
        <v>168.3</v>
      </c>
      <c r="C24" s="9">
        <v>18.26</v>
      </c>
      <c r="D24" s="9">
        <v>7.11</v>
      </c>
      <c r="E24" s="9">
        <v>10.8</v>
      </c>
      <c r="F24" s="9">
        <v>19</v>
      </c>
    </row>
    <row r="25" spans="1:6" ht="12.75">
      <c r="A25" s="10" t="s">
        <v>54</v>
      </c>
      <c r="B25" s="18">
        <v>168.3</v>
      </c>
      <c r="C25" s="9">
        <v>21.95</v>
      </c>
      <c r="D25" s="9">
        <v>7.11</v>
      </c>
      <c r="E25" s="9">
        <v>10.8</v>
      </c>
      <c r="F25" s="9">
        <v>19</v>
      </c>
    </row>
    <row r="26" spans="1:6" ht="13.5" thickBot="1">
      <c r="A26" s="10" t="s">
        <v>170</v>
      </c>
      <c r="B26" s="18">
        <v>219.1</v>
      </c>
      <c r="C26" s="9">
        <v>8.18</v>
      </c>
      <c r="D26" s="9">
        <v>8.18</v>
      </c>
      <c r="E26" s="9">
        <v>18</v>
      </c>
      <c r="F26" s="9">
        <v>30</v>
      </c>
    </row>
    <row r="27" spans="1:9" ht="13.5" thickBot="1">
      <c r="A27" s="10" t="s">
        <v>55</v>
      </c>
      <c r="B27" s="18">
        <v>219.1</v>
      </c>
      <c r="C27" s="9">
        <v>10.31</v>
      </c>
      <c r="D27" s="9">
        <v>8.18</v>
      </c>
      <c r="E27" s="9">
        <v>18</v>
      </c>
      <c r="F27" s="9">
        <v>30</v>
      </c>
      <c r="I27" s="14"/>
    </row>
    <row r="28" spans="1:6" ht="12.75">
      <c r="A28" s="10" t="s">
        <v>56</v>
      </c>
      <c r="B28" s="18">
        <v>219.1</v>
      </c>
      <c r="C28" s="9">
        <v>12.7</v>
      </c>
      <c r="D28" s="9">
        <v>8.18</v>
      </c>
      <c r="E28" s="9">
        <v>18</v>
      </c>
      <c r="F28" s="9">
        <v>30</v>
      </c>
    </row>
    <row r="29" spans="1:6" ht="12.75">
      <c r="A29" s="10" t="s">
        <v>57</v>
      </c>
      <c r="B29" s="18">
        <v>219.1</v>
      </c>
      <c r="C29" s="9">
        <v>15.09</v>
      </c>
      <c r="D29" s="9">
        <v>8.18</v>
      </c>
      <c r="E29" s="9">
        <v>18</v>
      </c>
      <c r="F29" s="9">
        <v>30</v>
      </c>
    </row>
    <row r="30" spans="1:6" ht="12.75">
      <c r="A30" s="10" t="s">
        <v>58</v>
      </c>
      <c r="B30" s="18">
        <v>219.1</v>
      </c>
      <c r="C30" s="9">
        <v>18.26</v>
      </c>
      <c r="D30" s="9">
        <v>8.18</v>
      </c>
      <c r="E30" s="9">
        <v>18</v>
      </c>
      <c r="F30" s="9">
        <v>30</v>
      </c>
    </row>
    <row r="31" spans="1:6" ht="12.75">
      <c r="A31" s="10" t="s">
        <v>59</v>
      </c>
      <c r="B31" s="18">
        <v>219.1</v>
      </c>
      <c r="C31" s="9">
        <v>20.62</v>
      </c>
      <c r="D31" s="9">
        <v>8.18</v>
      </c>
      <c r="E31" s="9">
        <v>18</v>
      </c>
      <c r="F31" s="9">
        <v>30</v>
      </c>
    </row>
    <row r="32" spans="1:6" ht="12.75">
      <c r="A32" s="10" t="s">
        <v>60</v>
      </c>
      <c r="B32" s="18">
        <v>219.1</v>
      </c>
      <c r="C32" s="9">
        <v>23.01</v>
      </c>
      <c r="D32" s="9">
        <v>8.18</v>
      </c>
      <c r="E32" s="9">
        <v>18</v>
      </c>
      <c r="F32" s="9">
        <v>30</v>
      </c>
    </row>
    <row r="33" spans="1:6" ht="12.75">
      <c r="A33" s="10" t="s">
        <v>61</v>
      </c>
      <c r="B33" s="18">
        <v>219.1</v>
      </c>
      <c r="C33" s="9">
        <v>22.23</v>
      </c>
      <c r="D33" s="9">
        <v>8.18</v>
      </c>
      <c r="E33" s="9">
        <v>18</v>
      </c>
      <c r="F33" s="9">
        <v>30</v>
      </c>
    </row>
    <row r="34" spans="1:6" ht="12.75">
      <c r="A34" s="10" t="s">
        <v>169</v>
      </c>
      <c r="B34" s="18">
        <v>273</v>
      </c>
      <c r="C34" s="9">
        <v>9.27</v>
      </c>
      <c r="D34" s="9">
        <v>9.27</v>
      </c>
      <c r="E34" s="9">
        <v>24</v>
      </c>
      <c r="F34" s="9">
        <v>41</v>
      </c>
    </row>
    <row r="35" spans="1:6" ht="12.75">
      <c r="A35" s="10" t="s">
        <v>62</v>
      </c>
      <c r="B35" s="18">
        <v>273</v>
      </c>
      <c r="C35" s="9">
        <v>12.7</v>
      </c>
      <c r="D35" s="9">
        <v>9.27</v>
      </c>
      <c r="E35" s="9">
        <v>24</v>
      </c>
      <c r="F35" s="9">
        <v>41</v>
      </c>
    </row>
    <row r="36" spans="1:6" ht="12.75">
      <c r="A36" s="10" t="s">
        <v>63</v>
      </c>
      <c r="B36" s="18">
        <v>273</v>
      </c>
      <c r="C36" s="9">
        <v>15.09</v>
      </c>
      <c r="D36" s="9">
        <v>9.27</v>
      </c>
      <c r="E36" s="9">
        <v>24</v>
      </c>
      <c r="F36" s="9">
        <v>41</v>
      </c>
    </row>
    <row r="37" spans="1:6" ht="12.75">
      <c r="A37" s="10" t="s">
        <v>64</v>
      </c>
      <c r="B37" s="18">
        <v>273</v>
      </c>
      <c r="C37" s="9">
        <v>18.26</v>
      </c>
      <c r="D37" s="9">
        <v>9.27</v>
      </c>
      <c r="E37" s="9">
        <v>24</v>
      </c>
      <c r="F37" s="9">
        <v>41</v>
      </c>
    </row>
    <row r="38" spans="1:6" ht="12.75">
      <c r="A38" s="10" t="s">
        <v>65</v>
      </c>
      <c r="B38" s="18">
        <v>273</v>
      </c>
      <c r="C38" s="9">
        <v>21.44</v>
      </c>
      <c r="D38" s="9">
        <v>9.27</v>
      </c>
      <c r="E38" s="9">
        <v>24</v>
      </c>
      <c r="F38" s="9">
        <v>41</v>
      </c>
    </row>
    <row r="39" spans="1:6" ht="12.75">
      <c r="A39" s="10" t="s">
        <v>66</v>
      </c>
      <c r="B39" s="18">
        <v>273</v>
      </c>
      <c r="C39" s="9">
        <v>25.4</v>
      </c>
      <c r="D39" s="9">
        <v>9.27</v>
      </c>
      <c r="E39" s="9">
        <v>24</v>
      </c>
      <c r="F39" s="9">
        <v>41</v>
      </c>
    </row>
    <row r="40" spans="1:6" ht="12.75">
      <c r="A40" s="10" t="s">
        <v>67</v>
      </c>
      <c r="B40" s="18">
        <v>273</v>
      </c>
      <c r="C40" s="9">
        <v>28.58</v>
      </c>
      <c r="D40" s="9">
        <v>9.27</v>
      </c>
      <c r="E40" s="9">
        <v>24</v>
      </c>
      <c r="F40" s="9">
        <v>41</v>
      </c>
    </row>
    <row r="41" spans="1:6" ht="12.75">
      <c r="A41" s="10" t="s">
        <v>68</v>
      </c>
      <c r="B41" s="18">
        <v>273</v>
      </c>
      <c r="C41" s="9">
        <v>25.4</v>
      </c>
      <c r="D41" s="9">
        <v>9.27</v>
      </c>
      <c r="E41" s="9">
        <v>24</v>
      </c>
      <c r="F41" s="9">
        <v>41</v>
      </c>
    </row>
    <row r="42" spans="1:6" ht="12.75">
      <c r="A42" s="10" t="s">
        <v>69</v>
      </c>
      <c r="B42" s="18">
        <v>323.8</v>
      </c>
      <c r="C42" s="9">
        <v>6.35</v>
      </c>
      <c r="D42" s="9">
        <v>9.53</v>
      </c>
      <c r="E42" s="9">
        <v>37</v>
      </c>
      <c r="F42" s="9">
        <v>62</v>
      </c>
    </row>
    <row r="43" spans="1:6" ht="12.75">
      <c r="A43" s="10" t="s">
        <v>70</v>
      </c>
      <c r="B43" s="18">
        <v>323.8</v>
      </c>
      <c r="C43" s="9">
        <v>8.38</v>
      </c>
      <c r="D43" s="9">
        <v>9.53</v>
      </c>
      <c r="E43" s="9">
        <v>37</v>
      </c>
      <c r="F43" s="9">
        <v>62</v>
      </c>
    </row>
    <row r="44" spans="1:6" ht="12.75">
      <c r="A44" s="10" t="s">
        <v>71</v>
      </c>
      <c r="B44" s="18">
        <v>323.8</v>
      </c>
      <c r="C44" s="9">
        <v>9.53</v>
      </c>
      <c r="D44" s="9">
        <v>9.53</v>
      </c>
      <c r="E44" s="9">
        <v>37</v>
      </c>
      <c r="F44" s="9">
        <v>62</v>
      </c>
    </row>
    <row r="45" spans="1:6" ht="12.75">
      <c r="A45" s="10" t="s">
        <v>72</v>
      </c>
      <c r="B45" s="18">
        <v>323.8</v>
      </c>
      <c r="C45" s="9">
        <v>10.41</v>
      </c>
      <c r="D45" s="9">
        <v>9.53</v>
      </c>
      <c r="E45" s="9">
        <v>37</v>
      </c>
      <c r="F45" s="9">
        <v>62</v>
      </c>
    </row>
    <row r="46" spans="1:6" ht="12.75">
      <c r="A46" s="10" t="s">
        <v>73</v>
      </c>
      <c r="B46" s="18">
        <v>323.8</v>
      </c>
      <c r="C46" s="9">
        <v>14.27</v>
      </c>
      <c r="D46" s="9">
        <v>9.53</v>
      </c>
      <c r="E46" s="9">
        <v>37</v>
      </c>
      <c r="F46" s="9">
        <v>62</v>
      </c>
    </row>
    <row r="47" spans="1:6" ht="12.75">
      <c r="A47" s="10" t="s">
        <v>74</v>
      </c>
      <c r="B47" s="18">
        <v>323.8</v>
      </c>
      <c r="C47" s="9">
        <v>12.7</v>
      </c>
      <c r="D47" s="9">
        <v>9.53</v>
      </c>
      <c r="E47" s="9">
        <v>37</v>
      </c>
      <c r="F47" s="9">
        <v>62</v>
      </c>
    </row>
    <row r="48" spans="1:6" ht="12.75">
      <c r="A48" s="10" t="s">
        <v>75</v>
      </c>
      <c r="B48" s="18">
        <v>323.8</v>
      </c>
      <c r="C48" s="9">
        <v>17.48</v>
      </c>
      <c r="D48" s="9">
        <v>9.53</v>
      </c>
      <c r="E48" s="9">
        <v>37</v>
      </c>
      <c r="F48" s="9">
        <v>62</v>
      </c>
    </row>
    <row r="49" spans="1:6" ht="12.75">
      <c r="A49" s="10" t="s">
        <v>76</v>
      </c>
      <c r="B49" s="18">
        <v>323.8</v>
      </c>
      <c r="C49" s="9">
        <v>21.44</v>
      </c>
      <c r="D49" s="9">
        <v>9.53</v>
      </c>
      <c r="E49" s="9">
        <v>37</v>
      </c>
      <c r="F49" s="9">
        <v>62</v>
      </c>
    </row>
    <row r="50" spans="1:6" ht="12.75">
      <c r="A50" s="10" t="s">
        <v>77</v>
      </c>
      <c r="B50" s="18">
        <v>323.8</v>
      </c>
      <c r="C50" s="9">
        <v>25.4</v>
      </c>
      <c r="D50" s="9">
        <v>9.53</v>
      </c>
      <c r="E50" s="9">
        <v>37</v>
      </c>
      <c r="F50" s="9">
        <v>62</v>
      </c>
    </row>
    <row r="51" spans="1:6" ht="12.75">
      <c r="A51" s="10" t="s">
        <v>78</v>
      </c>
      <c r="B51" s="18">
        <v>323.8</v>
      </c>
      <c r="C51" s="9">
        <v>28.58</v>
      </c>
      <c r="D51" s="9">
        <v>9.53</v>
      </c>
      <c r="E51" s="9">
        <v>37</v>
      </c>
      <c r="F51" s="9">
        <v>62</v>
      </c>
    </row>
    <row r="52" spans="1:6" ht="12.75">
      <c r="A52" s="10" t="s">
        <v>79</v>
      </c>
      <c r="B52" s="18">
        <v>323.8</v>
      </c>
      <c r="C52" s="9">
        <v>33.32</v>
      </c>
      <c r="D52" s="9">
        <v>9.53</v>
      </c>
      <c r="E52" s="9">
        <v>37</v>
      </c>
      <c r="F52" s="9">
        <v>62</v>
      </c>
    </row>
    <row r="53" spans="1:6" ht="12.75">
      <c r="A53" s="10" t="s">
        <v>80</v>
      </c>
      <c r="B53" s="18">
        <v>323.8</v>
      </c>
      <c r="C53" s="9">
        <v>25.4</v>
      </c>
      <c r="D53" s="9">
        <v>9.53</v>
      </c>
      <c r="E53" s="9">
        <v>37</v>
      </c>
      <c r="F53" s="9">
        <v>62</v>
      </c>
    </row>
    <row r="54" spans="1:6" ht="12.75">
      <c r="A54" s="10" t="s">
        <v>81</v>
      </c>
      <c r="B54" s="18">
        <v>355.6</v>
      </c>
      <c r="C54" s="9">
        <v>6.35</v>
      </c>
      <c r="D54" s="9">
        <v>9.53</v>
      </c>
      <c r="E54" s="9">
        <v>39</v>
      </c>
      <c r="F54" s="9">
        <v>74</v>
      </c>
    </row>
    <row r="55" spans="1:6" ht="12.75">
      <c r="A55" s="10" t="s">
        <v>82</v>
      </c>
      <c r="B55" s="18">
        <v>355.6</v>
      </c>
      <c r="C55" s="9">
        <v>7.92</v>
      </c>
      <c r="D55" s="9">
        <v>9.53</v>
      </c>
      <c r="E55" s="9">
        <v>39</v>
      </c>
      <c r="F55" s="9">
        <v>74</v>
      </c>
    </row>
    <row r="56" spans="1:6" ht="12.75">
      <c r="A56" s="10" t="s">
        <v>83</v>
      </c>
      <c r="B56" s="18">
        <v>355.6</v>
      </c>
      <c r="C56" s="9">
        <v>9.53</v>
      </c>
      <c r="D56" s="9">
        <v>9.53</v>
      </c>
      <c r="E56" s="9">
        <v>39</v>
      </c>
      <c r="F56" s="9">
        <v>74</v>
      </c>
    </row>
    <row r="57" spans="1:6" ht="12.75">
      <c r="A57" s="10" t="s">
        <v>84</v>
      </c>
      <c r="B57" s="18">
        <v>355.6</v>
      </c>
      <c r="C57" s="9">
        <v>9.53</v>
      </c>
      <c r="D57" s="9">
        <v>9.53</v>
      </c>
      <c r="E57" s="9">
        <v>39</v>
      </c>
      <c r="F57" s="9">
        <v>74</v>
      </c>
    </row>
    <row r="58" spans="1:6" ht="12.75">
      <c r="A58" s="10" t="s">
        <v>85</v>
      </c>
      <c r="B58" s="18">
        <v>355.6</v>
      </c>
      <c r="C58" s="9">
        <v>11.13</v>
      </c>
      <c r="D58" s="9">
        <v>9.53</v>
      </c>
      <c r="E58" s="9">
        <v>39</v>
      </c>
      <c r="F58" s="9">
        <v>74</v>
      </c>
    </row>
    <row r="59" spans="1:6" ht="12.75">
      <c r="A59" s="10" t="s">
        <v>86</v>
      </c>
      <c r="B59" s="18">
        <v>355.6</v>
      </c>
      <c r="C59" s="9">
        <v>15.09</v>
      </c>
      <c r="D59" s="9">
        <v>9.53</v>
      </c>
      <c r="E59" s="9">
        <v>39</v>
      </c>
      <c r="F59" s="9">
        <v>74</v>
      </c>
    </row>
    <row r="60" spans="1:6" ht="12.75">
      <c r="A60" s="10" t="s">
        <v>87</v>
      </c>
      <c r="B60" s="18">
        <v>355.6</v>
      </c>
      <c r="C60" s="9">
        <v>12.07</v>
      </c>
      <c r="D60" s="9">
        <v>9.53</v>
      </c>
      <c r="E60" s="9">
        <v>39</v>
      </c>
      <c r="F60" s="9">
        <v>74</v>
      </c>
    </row>
    <row r="61" spans="1:6" ht="12.75">
      <c r="A61" s="10" t="s">
        <v>88</v>
      </c>
      <c r="B61" s="18">
        <v>355.6</v>
      </c>
      <c r="C61" s="9">
        <v>19.05</v>
      </c>
      <c r="D61" s="9">
        <v>9.53</v>
      </c>
      <c r="E61" s="9">
        <v>39</v>
      </c>
      <c r="F61" s="9">
        <v>74</v>
      </c>
    </row>
    <row r="62" spans="1:6" ht="12.75">
      <c r="A62" s="10" t="s">
        <v>89</v>
      </c>
      <c r="B62" s="18">
        <v>355.6</v>
      </c>
      <c r="C62" s="9">
        <v>23.83</v>
      </c>
      <c r="D62" s="9">
        <v>9.53</v>
      </c>
      <c r="E62" s="9">
        <v>39</v>
      </c>
      <c r="F62" s="9">
        <v>74</v>
      </c>
    </row>
    <row r="63" spans="1:6" ht="12.75">
      <c r="A63" s="10" t="s">
        <v>90</v>
      </c>
      <c r="B63" s="18">
        <v>355.6</v>
      </c>
      <c r="C63" s="9">
        <v>27.79</v>
      </c>
      <c r="D63" s="9">
        <v>9.53</v>
      </c>
      <c r="E63" s="9">
        <v>39</v>
      </c>
      <c r="F63" s="9">
        <v>74</v>
      </c>
    </row>
    <row r="64" spans="1:6" ht="12.75">
      <c r="A64" s="10" t="s">
        <v>91</v>
      </c>
      <c r="B64" s="18">
        <v>355.6</v>
      </c>
      <c r="C64" s="9">
        <v>31.75</v>
      </c>
      <c r="D64" s="9">
        <v>9.53</v>
      </c>
      <c r="E64" s="9">
        <v>39</v>
      </c>
      <c r="F64" s="9">
        <v>74</v>
      </c>
    </row>
    <row r="65" spans="1:6" ht="12.75">
      <c r="A65" s="10" t="s">
        <v>92</v>
      </c>
      <c r="B65" s="18">
        <v>355.6</v>
      </c>
      <c r="C65" s="9">
        <v>35.71</v>
      </c>
      <c r="D65" s="9">
        <v>9.53</v>
      </c>
      <c r="E65" s="9">
        <v>39</v>
      </c>
      <c r="F65" s="9">
        <v>74</v>
      </c>
    </row>
    <row r="66" spans="1:6" ht="12.75">
      <c r="A66" s="10" t="s">
        <v>93</v>
      </c>
      <c r="B66" s="18">
        <v>406.4</v>
      </c>
      <c r="C66" s="9">
        <v>6.35</v>
      </c>
      <c r="D66" s="9">
        <v>9.53</v>
      </c>
      <c r="E66" s="9">
        <v>47</v>
      </c>
      <c r="F66" s="9">
        <v>100</v>
      </c>
    </row>
    <row r="67" spans="1:6" ht="12.75">
      <c r="A67" s="10" t="s">
        <v>94</v>
      </c>
      <c r="B67" s="18">
        <v>406.4</v>
      </c>
      <c r="C67" s="9">
        <v>7.92</v>
      </c>
      <c r="D67" s="9">
        <v>9.53</v>
      </c>
      <c r="E67" s="9">
        <v>47</v>
      </c>
      <c r="F67" s="9">
        <v>100</v>
      </c>
    </row>
    <row r="68" spans="1:6" ht="12.75">
      <c r="A68" s="10" t="s">
        <v>95</v>
      </c>
      <c r="B68" s="18">
        <v>406.4</v>
      </c>
      <c r="C68" s="9">
        <v>9.53</v>
      </c>
      <c r="D68" s="9">
        <v>9.53</v>
      </c>
      <c r="E68" s="9">
        <v>47</v>
      </c>
      <c r="F68" s="9">
        <v>100</v>
      </c>
    </row>
    <row r="69" spans="1:6" ht="12.75">
      <c r="A69" s="10" t="s">
        <v>96</v>
      </c>
      <c r="B69" s="18">
        <v>406.4</v>
      </c>
      <c r="C69" s="9">
        <v>9.53</v>
      </c>
      <c r="D69" s="9">
        <v>9.53</v>
      </c>
      <c r="E69" s="9">
        <v>47</v>
      </c>
      <c r="F69" s="9">
        <v>100</v>
      </c>
    </row>
    <row r="70" spans="1:6" ht="12.75">
      <c r="A70" s="10" t="s">
        <v>97</v>
      </c>
      <c r="B70" s="18">
        <v>406.4</v>
      </c>
      <c r="C70" s="9">
        <v>12.7</v>
      </c>
      <c r="D70" s="9">
        <v>9.53</v>
      </c>
      <c r="E70" s="9">
        <v>47</v>
      </c>
      <c r="F70" s="9">
        <v>100</v>
      </c>
    </row>
    <row r="71" spans="1:6" ht="12.75">
      <c r="A71" s="10" t="s">
        <v>98</v>
      </c>
      <c r="B71" s="18">
        <v>406.4</v>
      </c>
      <c r="C71" s="9">
        <v>16.66</v>
      </c>
      <c r="D71" s="9">
        <v>9.53</v>
      </c>
      <c r="E71" s="9">
        <v>47</v>
      </c>
      <c r="F71" s="9">
        <v>100</v>
      </c>
    </row>
    <row r="72" spans="1:6" ht="12.75">
      <c r="A72" s="10" t="s">
        <v>99</v>
      </c>
      <c r="B72" s="18">
        <v>406.4</v>
      </c>
      <c r="C72" s="9">
        <v>12.7</v>
      </c>
      <c r="D72" s="9">
        <v>9.53</v>
      </c>
      <c r="E72" s="9">
        <v>47</v>
      </c>
      <c r="F72" s="9">
        <v>100</v>
      </c>
    </row>
    <row r="73" spans="1:6" ht="12.75">
      <c r="A73" s="10" t="s">
        <v>100</v>
      </c>
      <c r="B73" s="18">
        <v>406.4</v>
      </c>
      <c r="C73" s="9">
        <v>21.44</v>
      </c>
      <c r="D73" s="9">
        <v>9.53</v>
      </c>
      <c r="E73" s="9">
        <v>47</v>
      </c>
      <c r="F73" s="9">
        <v>100</v>
      </c>
    </row>
    <row r="74" spans="1:6" ht="12.75">
      <c r="A74" s="10" t="s">
        <v>101</v>
      </c>
      <c r="B74" s="18">
        <v>406.4</v>
      </c>
      <c r="C74" s="9">
        <v>26.19</v>
      </c>
      <c r="D74" s="9">
        <v>9.53</v>
      </c>
      <c r="E74" s="9">
        <v>47</v>
      </c>
      <c r="F74" s="9">
        <v>100</v>
      </c>
    </row>
    <row r="75" spans="1:6" ht="12.75">
      <c r="A75" s="10" t="s">
        <v>102</v>
      </c>
      <c r="B75" s="18">
        <v>406.4</v>
      </c>
      <c r="C75" s="9">
        <v>30.96</v>
      </c>
      <c r="D75" s="9">
        <v>9.53</v>
      </c>
      <c r="E75" s="9">
        <v>47</v>
      </c>
      <c r="F75" s="9">
        <v>100</v>
      </c>
    </row>
    <row r="76" spans="1:6" ht="12.75">
      <c r="A76" s="10" t="s">
        <v>103</v>
      </c>
      <c r="B76" s="18">
        <v>406.4</v>
      </c>
      <c r="C76" s="9">
        <v>36.53</v>
      </c>
      <c r="D76" s="9">
        <v>9.53</v>
      </c>
      <c r="E76" s="9">
        <v>47</v>
      </c>
      <c r="F76" s="9">
        <v>100</v>
      </c>
    </row>
    <row r="77" spans="1:6" ht="12.75">
      <c r="A77" s="10" t="s">
        <v>104</v>
      </c>
      <c r="B77" s="18">
        <v>406.4</v>
      </c>
      <c r="C77" s="9">
        <v>40.49</v>
      </c>
      <c r="D77" s="9">
        <v>9.53</v>
      </c>
      <c r="E77" s="9">
        <v>47</v>
      </c>
      <c r="F77" s="9">
        <v>100</v>
      </c>
    </row>
    <row r="78" spans="1:6" ht="12.75">
      <c r="A78" s="10" t="s">
        <v>105</v>
      </c>
      <c r="B78" s="18">
        <v>457</v>
      </c>
      <c r="C78" s="9">
        <v>6.35</v>
      </c>
      <c r="D78" s="9">
        <v>9.53</v>
      </c>
      <c r="E78" s="9">
        <v>54</v>
      </c>
      <c r="F78" s="9">
        <v>127</v>
      </c>
    </row>
    <row r="79" spans="1:6" ht="12.75">
      <c r="A79" s="10" t="s">
        <v>106</v>
      </c>
      <c r="B79" s="11">
        <v>457</v>
      </c>
      <c r="C79" s="9">
        <v>7.92</v>
      </c>
      <c r="D79" s="9">
        <v>9.53</v>
      </c>
      <c r="E79" s="9">
        <v>54</v>
      </c>
      <c r="F79" s="9">
        <v>127</v>
      </c>
    </row>
    <row r="80" spans="1:6" ht="12.75">
      <c r="A80" s="10" t="s">
        <v>107</v>
      </c>
      <c r="B80" s="19">
        <v>457</v>
      </c>
      <c r="C80" s="9">
        <v>11.13</v>
      </c>
      <c r="D80" s="9">
        <v>9.53</v>
      </c>
      <c r="E80" s="9">
        <v>54</v>
      </c>
      <c r="F80" s="9">
        <v>127</v>
      </c>
    </row>
    <row r="81" spans="1:6" ht="12.75">
      <c r="A81" s="10" t="s">
        <v>108</v>
      </c>
      <c r="B81" s="19">
        <v>457</v>
      </c>
      <c r="C81" s="9">
        <v>9.53</v>
      </c>
      <c r="D81" s="9">
        <v>9.53</v>
      </c>
      <c r="E81" s="9">
        <v>54</v>
      </c>
      <c r="F81" s="9">
        <v>127</v>
      </c>
    </row>
    <row r="82" spans="1:6" ht="12.75">
      <c r="A82" s="10" t="s">
        <v>109</v>
      </c>
      <c r="B82" s="19">
        <v>457</v>
      </c>
      <c r="C82" s="9">
        <v>14.27</v>
      </c>
      <c r="D82" s="9">
        <v>9.53</v>
      </c>
      <c r="E82" s="9">
        <v>54</v>
      </c>
      <c r="F82" s="9">
        <v>127</v>
      </c>
    </row>
    <row r="83" spans="1:6" ht="12.75">
      <c r="A83" s="10" t="s">
        <v>110</v>
      </c>
      <c r="B83" s="19">
        <v>457</v>
      </c>
      <c r="C83" s="9">
        <v>19.05</v>
      </c>
      <c r="D83" s="9">
        <v>9.53</v>
      </c>
      <c r="E83" s="9">
        <v>54</v>
      </c>
      <c r="F83" s="9">
        <v>127</v>
      </c>
    </row>
    <row r="84" spans="1:6" ht="12.75">
      <c r="A84" s="10" t="s">
        <v>111</v>
      </c>
      <c r="B84" s="19">
        <v>457</v>
      </c>
      <c r="C84" s="9">
        <v>12.7</v>
      </c>
      <c r="D84" s="9">
        <v>9.53</v>
      </c>
      <c r="E84" s="9">
        <v>54</v>
      </c>
      <c r="F84" s="9">
        <v>127</v>
      </c>
    </row>
    <row r="85" spans="1:6" ht="12.75">
      <c r="A85" s="10" t="s">
        <v>112</v>
      </c>
      <c r="B85" s="19">
        <v>457</v>
      </c>
      <c r="C85" s="9">
        <v>23.88</v>
      </c>
      <c r="D85" s="9">
        <v>9.53</v>
      </c>
      <c r="E85" s="9">
        <v>54</v>
      </c>
      <c r="F85" s="9">
        <v>127</v>
      </c>
    </row>
    <row r="86" spans="1:6" ht="12.75">
      <c r="A86" s="10" t="s">
        <v>113</v>
      </c>
      <c r="B86" s="18">
        <v>457</v>
      </c>
      <c r="C86" s="9">
        <v>29.36</v>
      </c>
      <c r="D86" s="9">
        <v>9.53</v>
      </c>
      <c r="E86" s="9">
        <v>54</v>
      </c>
      <c r="F86" s="9">
        <v>127</v>
      </c>
    </row>
    <row r="87" spans="1:6" ht="12.75">
      <c r="A87" s="10" t="s">
        <v>114</v>
      </c>
      <c r="B87" s="18">
        <v>457</v>
      </c>
      <c r="C87" s="9">
        <v>34.93</v>
      </c>
      <c r="D87" s="9">
        <v>9.53</v>
      </c>
      <c r="E87" s="9">
        <v>54</v>
      </c>
      <c r="F87" s="9">
        <v>127</v>
      </c>
    </row>
    <row r="88" spans="1:6" ht="12.75">
      <c r="A88" s="10" t="s">
        <v>115</v>
      </c>
      <c r="B88" s="18">
        <v>457</v>
      </c>
      <c r="C88" s="9">
        <v>39.67</v>
      </c>
      <c r="D88" s="9">
        <v>9.53</v>
      </c>
      <c r="E88" s="9">
        <v>54</v>
      </c>
      <c r="F88" s="9">
        <v>127</v>
      </c>
    </row>
    <row r="89" spans="1:6" ht="12.75">
      <c r="A89" s="10" t="s">
        <v>116</v>
      </c>
      <c r="B89" s="18">
        <v>457</v>
      </c>
      <c r="C89" s="9">
        <v>45.24</v>
      </c>
      <c r="D89" s="9">
        <v>9.53</v>
      </c>
      <c r="E89" s="9">
        <v>54</v>
      </c>
      <c r="F89" s="9">
        <v>127</v>
      </c>
    </row>
    <row r="90" spans="1:6" ht="12.75">
      <c r="A90" s="10" t="s">
        <v>117</v>
      </c>
      <c r="B90" s="18">
        <v>508</v>
      </c>
      <c r="C90" s="9">
        <v>6.35</v>
      </c>
      <c r="D90" s="9">
        <v>9.53</v>
      </c>
      <c r="E90" s="9">
        <v>70</v>
      </c>
      <c r="F90" s="9">
        <v>147</v>
      </c>
    </row>
    <row r="91" spans="1:6" ht="12.75">
      <c r="A91" s="10" t="s">
        <v>118</v>
      </c>
      <c r="B91" s="18">
        <v>508</v>
      </c>
      <c r="C91" s="9">
        <v>9.53</v>
      </c>
      <c r="D91" s="9">
        <v>9.53</v>
      </c>
      <c r="E91" s="9">
        <v>70</v>
      </c>
      <c r="F91" s="9">
        <v>147</v>
      </c>
    </row>
    <row r="92" spans="1:6" ht="12.75">
      <c r="A92" s="10" t="s">
        <v>119</v>
      </c>
      <c r="B92" s="18">
        <v>508</v>
      </c>
      <c r="C92" s="9">
        <v>12.7</v>
      </c>
      <c r="D92" s="9">
        <v>9.53</v>
      </c>
      <c r="E92" s="9">
        <v>70</v>
      </c>
      <c r="F92" s="9">
        <v>147</v>
      </c>
    </row>
    <row r="93" spans="1:6" ht="12.75">
      <c r="A93" s="10" t="s">
        <v>120</v>
      </c>
      <c r="B93" s="18">
        <v>508</v>
      </c>
      <c r="C93" s="9">
        <v>9.53</v>
      </c>
      <c r="D93" s="9">
        <v>9.53</v>
      </c>
      <c r="E93" s="9">
        <v>70</v>
      </c>
      <c r="F93" s="9">
        <v>147</v>
      </c>
    </row>
    <row r="94" spans="1:6" ht="12.75">
      <c r="A94" s="10" t="s">
        <v>121</v>
      </c>
      <c r="B94" s="18">
        <v>508</v>
      </c>
      <c r="C94" s="9">
        <v>15.09</v>
      </c>
      <c r="D94" s="9">
        <v>9.53</v>
      </c>
      <c r="E94" s="9">
        <v>70</v>
      </c>
      <c r="F94" s="9">
        <v>147</v>
      </c>
    </row>
    <row r="95" spans="1:6" ht="12.75">
      <c r="A95" s="10" t="s">
        <v>122</v>
      </c>
      <c r="B95" s="18">
        <v>508</v>
      </c>
      <c r="C95" s="9">
        <v>20.62</v>
      </c>
      <c r="D95" s="9">
        <v>9.53</v>
      </c>
      <c r="E95" s="9">
        <v>70</v>
      </c>
      <c r="F95" s="9">
        <v>147</v>
      </c>
    </row>
    <row r="96" spans="1:6" ht="12.75">
      <c r="A96" s="10" t="s">
        <v>123</v>
      </c>
      <c r="B96" s="18">
        <v>508</v>
      </c>
      <c r="C96" s="9">
        <v>12.7</v>
      </c>
      <c r="D96" s="9">
        <v>9.53</v>
      </c>
      <c r="E96" s="9">
        <v>70</v>
      </c>
      <c r="F96" s="9">
        <v>147</v>
      </c>
    </row>
    <row r="97" spans="1:6" ht="12.75">
      <c r="A97" s="10" t="s">
        <v>124</v>
      </c>
      <c r="B97" s="18">
        <v>508</v>
      </c>
      <c r="C97" s="9">
        <v>26.19</v>
      </c>
      <c r="D97" s="9">
        <v>9.53</v>
      </c>
      <c r="E97" s="9">
        <v>70</v>
      </c>
      <c r="F97" s="9">
        <v>147</v>
      </c>
    </row>
    <row r="98" spans="1:6" ht="12.75">
      <c r="A98" s="10" t="s">
        <v>125</v>
      </c>
      <c r="B98" s="18">
        <v>508</v>
      </c>
      <c r="C98" s="9">
        <v>32.54</v>
      </c>
      <c r="D98" s="9">
        <v>9.53</v>
      </c>
      <c r="E98" s="9">
        <v>70</v>
      </c>
      <c r="F98" s="9">
        <v>147</v>
      </c>
    </row>
    <row r="99" spans="1:6" ht="12.75">
      <c r="A99" s="10" t="s">
        <v>126</v>
      </c>
      <c r="B99" s="18">
        <v>508</v>
      </c>
      <c r="C99" s="9">
        <v>38.1</v>
      </c>
      <c r="D99" s="9">
        <v>9.53</v>
      </c>
      <c r="E99" s="9">
        <v>70</v>
      </c>
      <c r="F99" s="9">
        <v>147</v>
      </c>
    </row>
    <row r="100" spans="1:6" ht="12.75">
      <c r="A100" s="10" t="s">
        <v>127</v>
      </c>
      <c r="B100" s="18">
        <v>508</v>
      </c>
      <c r="C100" s="9">
        <v>44.45</v>
      </c>
      <c r="D100" s="9">
        <v>9.53</v>
      </c>
      <c r="E100" s="9">
        <v>70</v>
      </c>
      <c r="F100" s="9">
        <v>147</v>
      </c>
    </row>
    <row r="101" spans="1:6" ht="12.75">
      <c r="A101" s="10" t="s">
        <v>128</v>
      </c>
      <c r="B101" s="18">
        <v>508</v>
      </c>
      <c r="C101" s="9">
        <v>50.01</v>
      </c>
      <c r="D101" s="9">
        <v>9.53</v>
      </c>
      <c r="E101" s="9">
        <v>70</v>
      </c>
      <c r="F101" s="9">
        <v>147</v>
      </c>
    </row>
    <row r="102" spans="1:6" ht="12.75">
      <c r="A102" s="10" t="s">
        <v>129</v>
      </c>
      <c r="B102" s="18">
        <v>559</v>
      </c>
      <c r="C102" s="9">
        <v>6.35</v>
      </c>
      <c r="D102" s="9">
        <v>9.53</v>
      </c>
      <c r="E102" s="9">
        <v>83</v>
      </c>
      <c r="F102" s="9">
        <v>180</v>
      </c>
    </row>
    <row r="103" spans="1:6" ht="12.75">
      <c r="A103" s="10" t="s">
        <v>130</v>
      </c>
      <c r="B103" s="18">
        <v>559</v>
      </c>
      <c r="C103" s="9">
        <v>9.53</v>
      </c>
      <c r="D103" s="9">
        <v>9.53</v>
      </c>
      <c r="E103" s="9">
        <v>83</v>
      </c>
      <c r="F103" s="9">
        <v>180</v>
      </c>
    </row>
    <row r="104" spans="1:6" ht="12.75">
      <c r="A104" s="10" t="s">
        <v>131</v>
      </c>
      <c r="B104" s="18">
        <v>559</v>
      </c>
      <c r="C104" s="9">
        <v>12.7</v>
      </c>
      <c r="D104" s="9">
        <v>9.53</v>
      </c>
      <c r="E104" s="9">
        <v>83</v>
      </c>
      <c r="F104" s="9">
        <v>180</v>
      </c>
    </row>
    <row r="105" spans="1:6" ht="12.75">
      <c r="A105" s="10" t="s">
        <v>132</v>
      </c>
      <c r="B105" s="18">
        <v>559</v>
      </c>
      <c r="C105" s="9">
        <v>9.53</v>
      </c>
      <c r="D105" s="9">
        <v>9.53</v>
      </c>
      <c r="E105" s="9">
        <v>83</v>
      </c>
      <c r="F105" s="9">
        <v>180</v>
      </c>
    </row>
    <row r="106" spans="1:6" ht="12.75">
      <c r="A106" s="10" t="s">
        <v>133</v>
      </c>
      <c r="B106" s="18">
        <v>559</v>
      </c>
      <c r="C106" s="9">
        <v>22.23</v>
      </c>
      <c r="D106" s="9">
        <v>9.53</v>
      </c>
      <c r="E106" s="9">
        <v>83</v>
      </c>
      <c r="F106" s="9">
        <v>180</v>
      </c>
    </row>
    <row r="107" spans="1:6" ht="12.75">
      <c r="A107" s="10" t="s">
        <v>134</v>
      </c>
      <c r="B107" s="18">
        <v>559</v>
      </c>
      <c r="C107" s="9">
        <v>12.7</v>
      </c>
      <c r="D107" s="9">
        <v>9.53</v>
      </c>
      <c r="E107" s="9">
        <v>83</v>
      </c>
      <c r="F107" s="9">
        <v>180</v>
      </c>
    </row>
    <row r="108" spans="1:6" ht="12.75">
      <c r="A108" s="10" t="s">
        <v>135</v>
      </c>
      <c r="B108" s="18">
        <v>559</v>
      </c>
      <c r="C108" s="9">
        <v>28.58</v>
      </c>
      <c r="D108" s="9">
        <v>9.53</v>
      </c>
      <c r="E108" s="9">
        <v>83</v>
      </c>
      <c r="F108" s="9">
        <v>180</v>
      </c>
    </row>
    <row r="109" spans="1:6" ht="12.75">
      <c r="A109" s="10" t="s">
        <v>136</v>
      </c>
      <c r="B109" s="18">
        <v>559</v>
      </c>
      <c r="C109" s="9">
        <v>34.93</v>
      </c>
      <c r="D109" s="9">
        <v>9.53</v>
      </c>
      <c r="E109" s="9">
        <v>83</v>
      </c>
      <c r="F109" s="9">
        <v>180</v>
      </c>
    </row>
    <row r="110" spans="1:6" ht="12.75">
      <c r="A110" s="10" t="s">
        <v>137</v>
      </c>
      <c r="B110" s="18">
        <v>559</v>
      </c>
      <c r="C110" s="9">
        <v>41.28</v>
      </c>
      <c r="D110" s="9">
        <v>9.53</v>
      </c>
      <c r="E110" s="9">
        <v>83</v>
      </c>
      <c r="F110" s="9">
        <v>180</v>
      </c>
    </row>
    <row r="111" spans="1:6" ht="12.75">
      <c r="A111" s="10" t="s">
        <v>138</v>
      </c>
      <c r="B111" s="18">
        <v>559</v>
      </c>
      <c r="C111" s="9">
        <v>47.63</v>
      </c>
      <c r="D111" s="9">
        <v>9.53</v>
      </c>
      <c r="E111" s="9">
        <v>83</v>
      </c>
      <c r="F111" s="9">
        <v>180</v>
      </c>
    </row>
    <row r="112" spans="1:6" ht="12.75">
      <c r="A112" s="10" t="s">
        <v>139</v>
      </c>
      <c r="B112" s="18">
        <v>559</v>
      </c>
      <c r="C112" s="9">
        <v>53.98</v>
      </c>
      <c r="D112" s="9">
        <v>9.53</v>
      </c>
      <c r="E112" s="9">
        <v>83</v>
      </c>
      <c r="F112" s="9">
        <v>180</v>
      </c>
    </row>
    <row r="113" spans="1:6" ht="12.75">
      <c r="A113" s="10" t="s">
        <v>140</v>
      </c>
      <c r="B113" s="18">
        <v>610</v>
      </c>
      <c r="C113" s="9">
        <v>6.35</v>
      </c>
      <c r="D113" s="9">
        <v>9.53</v>
      </c>
      <c r="E113" s="9">
        <v>95</v>
      </c>
      <c r="F113" s="9">
        <v>208</v>
      </c>
    </row>
    <row r="114" spans="1:6" ht="12.75">
      <c r="A114" s="10" t="s">
        <v>141</v>
      </c>
      <c r="B114" s="18">
        <v>610</v>
      </c>
      <c r="C114" s="9">
        <v>9.53</v>
      </c>
      <c r="D114" s="9">
        <v>9.53</v>
      </c>
      <c r="E114" s="9">
        <v>95</v>
      </c>
      <c r="F114" s="9">
        <v>208</v>
      </c>
    </row>
    <row r="115" spans="1:6" ht="12.75">
      <c r="A115" s="10" t="s">
        <v>142</v>
      </c>
      <c r="B115" s="18">
        <v>610</v>
      </c>
      <c r="C115" s="9">
        <v>14.27</v>
      </c>
      <c r="D115" s="9">
        <v>9.53</v>
      </c>
      <c r="E115" s="9">
        <v>95</v>
      </c>
      <c r="F115" s="9">
        <v>208</v>
      </c>
    </row>
    <row r="116" spans="1:6" ht="12.75">
      <c r="A116" s="10" t="s">
        <v>143</v>
      </c>
      <c r="B116" s="18">
        <v>610</v>
      </c>
      <c r="C116" s="9">
        <v>9.53</v>
      </c>
      <c r="D116" s="9">
        <v>9.53</v>
      </c>
      <c r="E116" s="9">
        <v>95</v>
      </c>
      <c r="F116" s="9">
        <v>208</v>
      </c>
    </row>
    <row r="117" spans="1:6" ht="12.75">
      <c r="A117" s="10" t="s">
        <v>144</v>
      </c>
      <c r="B117" s="18">
        <v>610</v>
      </c>
      <c r="C117" s="9">
        <v>17.48</v>
      </c>
      <c r="D117" s="9">
        <v>9.53</v>
      </c>
      <c r="E117" s="9">
        <v>95</v>
      </c>
      <c r="F117" s="9">
        <v>208</v>
      </c>
    </row>
    <row r="118" spans="1:6" ht="12.75">
      <c r="A118" s="10" t="s">
        <v>145</v>
      </c>
      <c r="B118" s="18">
        <v>610</v>
      </c>
      <c r="C118" s="9">
        <v>24.61</v>
      </c>
      <c r="D118" s="9">
        <v>9.53</v>
      </c>
      <c r="E118" s="9">
        <v>95</v>
      </c>
      <c r="F118" s="9">
        <v>208</v>
      </c>
    </row>
    <row r="119" spans="1:6" ht="12.75">
      <c r="A119" s="10" t="s">
        <v>146</v>
      </c>
      <c r="B119" s="18">
        <v>610</v>
      </c>
      <c r="C119" s="9">
        <v>12.7</v>
      </c>
      <c r="D119" s="9">
        <v>9.53</v>
      </c>
      <c r="E119" s="9">
        <v>95</v>
      </c>
      <c r="F119" s="9">
        <v>208</v>
      </c>
    </row>
    <row r="120" spans="1:6" ht="12.75">
      <c r="A120" s="10" t="s">
        <v>147</v>
      </c>
      <c r="B120" s="18">
        <v>610</v>
      </c>
      <c r="C120" s="9">
        <v>30.96</v>
      </c>
      <c r="D120" s="9">
        <v>9.53</v>
      </c>
      <c r="E120" s="9">
        <v>95</v>
      </c>
      <c r="F120" s="9">
        <v>208</v>
      </c>
    </row>
    <row r="121" spans="1:6" ht="12.75">
      <c r="A121" s="10" t="s">
        <v>148</v>
      </c>
      <c r="B121" s="18">
        <v>610</v>
      </c>
      <c r="C121" s="9">
        <v>38.89</v>
      </c>
      <c r="D121" s="9">
        <v>9.53</v>
      </c>
      <c r="E121" s="9">
        <v>95</v>
      </c>
      <c r="F121" s="9">
        <v>208</v>
      </c>
    </row>
    <row r="122" spans="1:6" ht="12.75">
      <c r="A122" s="10" t="s">
        <v>149</v>
      </c>
      <c r="B122" s="18">
        <v>610</v>
      </c>
      <c r="C122" s="9">
        <v>46.02</v>
      </c>
      <c r="D122" s="9">
        <v>9.53</v>
      </c>
      <c r="E122" s="9">
        <v>95</v>
      </c>
      <c r="F122" s="9">
        <v>208</v>
      </c>
    </row>
    <row r="123" spans="1:6" ht="12.75">
      <c r="A123" s="10" t="s">
        <v>150</v>
      </c>
      <c r="B123" s="18">
        <v>610</v>
      </c>
      <c r="C123" s="9">
        <v>52.37</v>
      </c>
      <c r="D123" s="9">
        <v>9.53</v>
      </c>
      <c r="E123" s="9">
        <v>95</v>
      </c>
      <c r="F123" s="9">
        <v>208</v>
      </c>
    </row>
    <row r="124" spans="1:6" ht="12.75">
      <c r="A124" s="10" t="s">
        <v>151</v>
      </c>
      <c r="B124" s="18">
        <v>610</v>
      </c>
      <c r="C124" s="9">
        <v>59.54</v>
      </c>
      <c r="D124" s="9">
        <v>9.53</v>
      </c>
      <c r="E124" s="9">
        <v>95</v>
      </c>
      <c r="F124" s="9">
        <v>208</v>
      </c>
    </row>
    <row r="125" spans="1:6" ht="12.75">
      <c r="A125" s="10" t="s">
        <v>152</v>
      </c>
      <c r="B125" s="18">
        <v>762</v>
      </c>
      <c r="C125" s="9">
        <v>7.92</v>
      </c>
      <c r="D125" s="9">
        <v>9.53</v>
      </c>
      <c r="E125" s="9">
        <v>120</v>
      </c>
      <c r="F125" s="9">
        <v>260</v>
      </c>
    </row>
    <row r="126" spans="1:6" ht="12.75">
      <c r="A126" s="10" t="s">
        <v>153</v>
      </c>
      <c r="B126" s="18">
        <v>762</v>
      </c>
      <c r="C126" s="9">
        <v>12.7</v>
      </c>
      <c r="D126" s="9">
        <v>9.53</v>
      </c>
      <c r="E126" s="9">
        <v>120</v>
      </c>
      <c r="F126" s="9">
        <v>260</v>
      </c>
    </row>
    <row r="127" spans="1:6" ht="12.75">
      <c r="A127" s="10" t="s">
        <v>154</v>
      </c>
      <c r="B127" s="18">
        <v>762</v>
      </c>
      <c r="C127" s="9">
        <v>15.88</v>
      </c>
      <c r="D127" s="9">
        <v>9.53</v>
      </c>
      <c r="E127" s="9">
        <v>120</v>
      </c>
      <c r="F127" s="9">
        <v>260</v>
      </c>
    </row>
    <row r="128" spans="1:6" ht="12.75">
      <c r="A128" s="10" t="s">
        <v>155</v>
      </c>
      <c r="B128" s="18">
        <v>762</v>
      </c>
      <c r="C128" s="9">
        <v>9.53</v>
      </c>
      <c r="D128" s="9">
        <v>9.53</v>
      </c>
      <c r="E128" s="9">
        <v>120</v>
      </c>
      <c r="F128" s="9">
        <v>260</v>
      </c>
    </row>
    <row r="129" spans="1:6" ht="12.75">
      <c r="A129" s="10" t="s">
        <v>156</v>
      </c>
      <c r="B129" s="18">
        <v>762</v>
      </c>
      <c r="C129" s="9">
        <v>12.7</v>
      </c>
      <c r="D129" s="9">
        <v>9.53</v>
      </c>
      <c r="E129" s="9">
        <v>120</v>
      </c>
      <c r="F129" s="9">
        <v>260</v>
      </c>
    </row>
    <row r="130" ht="12.75">
      <c r="A130" s="10"/>
    </row>
    <row r="131" ht="12.75">
      <c r="A131" s="10"/>
    </row>
    <row r="132" ht="12.75">
      <c r="A132" s="10" t="s">
        <v>379</v>
      </c>
    </row>
    <row r="133" spans="1:2" ht="12.75">
      <c r="A133" s="10" t="s">
        <v>381</v>
      </c>
      <c r="B133" s="9" t="s">
        <v>380</v>
      </c>
    </row>
    <row r="134" spans="1:2" ht="12.75">
      <c r="A134" s="137">
        <v>-325</v>
      </c>
      <c r="B134" s="9">
        <v>-198.3</v>
      </c>
    </row>
    <row r="135" spans="1:2" ht="12.75">
      <c r="A135" s="137">
        <v>-200</v>
      </c>
      <c r="B135" s="9">
        <v>-128.9</v>
      </c>
    </row>
    <row r="136" spans="1:2" ht="12.75">
      <c r="A136" s="137">
        <v>-100</v>
      </c>
      <c r="B136" s="9">
        <v>-73.3</v>
      </c>
    </row>
    <row r="137" ht="12.75">
      <c r="A137" s="137">
        <v>70</v>
      </c>
    </row>
    <row r="138" ht="12.75">
      <c r="A138" s="137">
        <v>200</v>
      </c>
    </row>
    <row r="139" ht="12.75">
      <c r="A139" s="137">
        <v>300</v>
      </c>
    </row>
    <row r="140" ht="12.75">
      <c r="A140" s="137">
        <v>400</v>
      </c>
    </row>
    <row r="141" ht="12.75">
      <c r="A141" s="137">
        <v>500</v>
      </c>
    </row>
    <row r="142" ht="12.75">
      <c r="A142" s="137">
        <v>600</v>
      </c>
    </row>
    <row r="143" ht="12.75">
      <c r="A143" s="137">
        <v>700</v>
      </c>
    </row>
    <row r="144" ht="12.75">
      <c r="A144" s="137">
        <v>800</v>
      </c>
    </row>
    <row r="145" ht="12.75">
      <c r="A145" s="137">
        <v>900</v>
      </c>
    </row>
    <row r="146" ht="12.75">
      <c r="A146" s="137">
        <v>1000</v>
      </c>
    </row>
    <row r="147" ht="12.75">
      <c r="A147" s="137">
        <v>1100</v>
      </c>
    </row>
    <row r="148" ht="12.75">
      <c r="A148" s="137">
        <v>1200</v>
      </c>
    </row>
    <row r="149" ht="12.75">
      <c r="A149" s="137">
        <v>1300</v>
      </c>
    </row>
    <row r="150" ht="12.75">
      <c r="A150" s="137">
        <v>1400</v>
      </c>
    </row>
    <row r="151" ht="12.75">
      <c r="A151" s="137">
        <v>1500</v>
      </c>
    </row>
    <row r="152" ht="12.75">
      <c r="A152" s="10"/>
    </row>
    <row r="153" ht="12.75">
      <c r="A153" s="10"/>
    </row>
    <row r="154" ht="12.75">
      <c r="A154" s="10"/>
    </row>
    <row r="155" ht="12.75">
      <c r="A155" s="10"/>
    </row>
    <row r="156" ht="12.75">
      <c r="A156" s="10"/>
    </row>
    <row r="157" ht="12.75">
      <c r="A157" s="10"/>
    </row>
    <row r="158" ht="12.75">
      <c r="A158" s="10"/>
    </row>
    <row r="159" ht="12.75">
      <c r="A159" s="10"/>
    </row>
    <row r="160" ht="12.75">
      <c r="A160" s="10"/>
    </row>
    <row r="161" ht="12.75">
      <c r="A161" s="10"/>
    </row>
    <row r="162" ht="12.75">
      <c r="A162" s="10"/>
    </row>
    <row r="163" ht="12.75">
      <c r="A163" s="10"/>
    </row>
    <row r="164" ht="12.75">
      <c r="A164" s="10"/>
    </row>
    <row r="165" ht="12.75">
      <c r="A165" s="10"/>
    </row>
    <row r="166" ht="12.75">
      <c r="A166" s="10"/>
    </row>
    <row r="167" ht="12.75">
      <c r="A167" s="10"/>
    </row>
    <row r="168" ht="12.75">
      <c r="A168" s="10"/>
    </row>
    <row r="169" ht="12.75">
      <c r="A169" s="10"/>
    </row>
    <row r="170" ht="12.75">
      <c r="A170" s="10"/>
    </row>
    <row r="171" ht="12.75">
      <c r="A171" s="10"/>
    </row>
    <row r="172" ht="12.75">
      <c r="A172" s="10"/>
    </row>
    <row r="173" ht="12.75">
      <c r="A173" s="10"/>
    </row>
    <row r="174" ht="12.75">
      <c r="A174" s="10"/>
    </row>
    <row r="175" ht="12.75">
      <c r="A175" s="10"/>
    </row>
    <row r="176" ht="12.75">
      <c r="A176" s="10"/>
    </row>
    <row r="177" ht="12.75">
      <c r="A177" s="10"/>
    </row>
    <row r="178" ht="12.75">
      <c r="A178" s="10"/>
    </row>
    <row r="179" ht="12.75">
      <c r="A179" s="10"/>
    </row>
    <row r="180" ht="12.75">
      <c r="A180" s="10"/>
    </row>
    <row r="181" ht="12.75">
      <c r="A181" s="10"/>
    </row>
    <row r="182" ht="12.75">
      <c r="A182" s="10"/>
    </row>
    <row r="183" ht="12.75">
      <c r="A183" s="10"/>
    </row>
    <row r="184" ht="12.75">
      <c r="A184" s="10"/>
    </row>
    <row r="185" ht="12.75">
      <c r="A185" s="10"/>
    </row>
    <row r="186" ht="12.75">
      <c r="A186" s="10"/>
    </row>
    <row r="187" ht="12.75">
      <c r="A187" s="10"/>
    </row>
    <row r="188" ht="12.75">
      <c r="A188" s="10"/>
    </row>
    <row r="189" ht="12.75">
      <c r="A189" s="10"/>
    </row>
    <row r="190" ht="12.75">
      <c r="A190" s="10"/>
    </row>
    <row r="191" ht="12.75">
      <c r="A191" s="10"/>
    </row>
    <row r="192" ht="12.75">
      <c r="A192" s="10"/>
    </row>
    <row r="193" ht="12.75">
      <c r="A193" s="10"/>
    </row>
    <row r="194" ht="12.75">
      <c r="A194" s="10"/>
    </row>
    <row r="195" ht="12.75">
      <c r="A195" s="10"/>
    </row>
    <row r="196" ht="12.75">
      <c r="A196" s="10"/>
    </row>
    <row r="197" ht="12.75">
      <c r="A197" s="10"/>
    </row>
    <row r="198" ht="12.75">
      <c r="A198" s="10"/>
    </row>
    <row r="199" ht="12.75">
      <c r="A199" s="10"/>
    </row>
    <row r="200" ht="12.75">
      <c r="A200" s="10"/>
    </row>
    <row r="201" ht="12.75">
      <c r="A201" s="10"/>
    </row>
    <row r="202" ht="12.75">
      <c r="A202" s="10"/>
    </row>
    <row r="203" ht="12.75">
      <c r="A203" s="10"/>
    </row>
    <row r="204" ht="12.75">
      <c r="A204" s="10"/>
    </row>
    <row r="205" ht="12.75">
      <c r="A205" s="10"/>
    </row>
    <row r="206" ht="12.75">
      <c r="A206" s="10"/>
    </row>
    <row r="207" ht="12.75">
      <c r="A207" s="10"/>
    </row>
    <row r="208" ht="12.75">
      <c r="A208" s="10"/>
    </row>
    <row r="209" ht="12.75">
      <c r="A209" s="10"/>
    </row>
    <row r="210" ht="12.75">
      <c r="A210" s="10"/>
    </row>
    <row r="211" ht="12.75">
      <c r="A211" s="10"/>
    </row>
    <row r="212" ht="12.75">
      <c r="A212" s="10"/>
    </row>
    <row r="213" ht="12.75">
      <c r="A213" s="10"/>
    </row>
    <row r="214" ht="12.75">
      <c r="A214" s="10"/>
    </row>
    <row r="215" ht="12.75">
      <c r="A215" s="10"/>
    </row>
    <row r="216" ht="12.75">
      <c r="A216" s="10"/>
    </row>
    <row r="217" ht="12.75">
      <c r="A217" s="10"/>
    </row>
    <row r="218" ht="12.75">
      <c r="A218" s="10"/>
    </row>
    <row r="219" ht="12.75">
      <c r="A219" s="10"/>
    </row>
    <row r="220" ht="12.75">
      <c r="A220" s="10"/>
    </row>
    <row r="221" ht="12.75">
      <c r="A221" s="10"/>
    </row>
    <row r="222" ht="12.75">
      <c r="A222" s="10"/>
    </row>
    <row r="223" ht="12.75">
      <c r="A223" s="10"/>
    </row>
    <row r="224" ht="12.75">
      <c r="A224" s="10"/>
    </row>
    <row r="225" ht="12.75">
      <c r="A225" s="10"/>
    </row>
    <row r="226" ht="12.75">
      <c r="A226" s="10"/>
    </row>
    <row r="227" ht="12.75">
      <c r="A227" s="10"/>
    </row>
    <row r="228" ht="12.75">
      <c r="A228" s="10"/>
    </row>
    <row r="229" ht="12.75">
      <c r="A229" s="10"/>
    </row>
    <row r="230" ht="12.75">
      <c r="A230" s="10"/>
    </row>
    <row r="231" ht="12.75">
      <c r="A231" s="10"/>
    </row>
    <row r="232" ht="12.75">
      <c r="A232" s="10"/>
    </row>
    <row r="233" ht="12.75">
      <c r="A233" s="10"/>
    </row>
    <row r="234" ht="12.75">
      <c r="A234" s="10"/>
    </row>
    <row r="235" ht="12.75">
      <c r="A235" s="10"/>
    </row>
    <row r="236" ht="12.75">
      <c r="A236" s="10"/>
    </row>
    <row r="237" ht="12.75">
      <c r="A237" s="10"/>
    </row>
    <row r="238" ht="12.75">
      <c r="A238" s="10"/>
    </row>
    <row r="239" ht="12.75">
      <c r="A239" s="10"/>
    </row>
  </sheetData>
  <sheetProtection/>
  <dataValidations count="3">
    <dataValidation type="list" allowBlank="1" showInputMessage="1" showErrorMessage="1" sqref="M9">
      <formula1>$C$20:$H$20</formula1>
    </dataValidation>
    <dataValidation type="list" allowBlank="1" showInputMessage="1" showErrorMessage="1" sqref="G32">
      <formula1>$A$36:$A$41</formula1>
    </dataValidation>
    <dataValidation type="list" allowBlank="1" showInputMessage="1" showErrorMessage="1" sqref="L9">
      <formula1>$A$22:$A$30</formula1>
    </dataValidation>
  </dataValidations>
  <printOptions/>
  <pageMargins left="0.51" right="0.53" top="0.984251969" bottom="0.98" header="0.492125985" footer="0.492125985"/>
  <pageSetup fitToHeight="1" fitToWidth="1" horizontalDpi="600" verticalDpi="600" orientation="landscape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cjw2</dc:creator>
  <cp:keywords/>
  <dc:description/>
  <cp:lastModifiedBy>Patty</cp:lastModifiedBy>
  <cp:lastPrinted>2007-07-06T18:54:14Z</cp:lastPrinted>
  <dcterms:created xsi:type="dcterms:W3CDTF">2007-06-14T11:12:14Z</dcterms:created>
  <dcterms:modified xsi:type="dcterms:W3CDTF">2015-12-03T20:46:04Z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