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<sst xmlns="http://schemas.openxmlformats.org/spreadsheetml/2006/main" count="281" uniqueCount="241">
  <si>
    <t>I.  Flange Description</t>
  </si>
  <si>
    <t>NPS:</t>
  </si>
  <si>
    <t>Class:</t>
  </si>
  <si>
    <t>Type:</t>
  </si>
  <si>
    <t>A:</t>
  </si>
  <si>
    <t>B:</t>
  </si>
  <si>
    <t>C:</t>
  </si>
  <si>
    <t>t:</t>
  </si>
  <si>
    <t>h:</t>
  </si>
  <si>
    <t>go:</t>
  </si>
  <si>
    <t>g1:</t>
  </si>
  <si>
    <t>BD:</t>
  </si>
  <si>
    <t>#B:</t>
  </si>
  <si>
    <t>RD:</t>
  </si>
  <si>
    <t>T:</t>
  </si>
  <si>
    <t>P:</t>
  </si>
  <si>
    <t>F Mat:</t>
  </si>
  <si>
    <t>B Mat:</t>
  </si>
  <si>
    <t>ExMo:</t>
  </si>
  <si>
    <t>Pe:</t>
  </si>
  <si>
    <t>R:</t>
  </si>
  <si>
    <t>P+Pe:</t>
  </si>
  <si>
    <t>II.  Gasket Dimension &amp; Factors</t>
  </si>
  <si>
    <t>OD:</t>
  </si>
  <si>
    <t>ID:</t>
  </si>
  <si>
    <t>m:</t>
  </si>
  <si>
    <t>y:</t>
  </si>
  <si>
    <t>III.  Design Conditions</t>
  </si>
  <si>
    <t xml:space="preserve"> </t>
  </si>
  <si>
    <t>Sc:</t>
  </si>
  <si>
    <t>Sb:</t>
  </si>
  <si>
    <t>Sa:</t>
  </si>
  <si>
    <t>Sf:</t>
  </si>
  <si>
    <t>IV.  Calculations:</t>
  </si>
  <si>
    <t>Location of gasket load reaction:</t>
  </si>
  <si>
    <t>N:</t>
  </si>
  <si>
    <t>G:</t>
  </si>
  <si>
    <t>Operating</t>
  </si>
  <si>
    <t>Wm1:</t>
  </si>
  <si>
    <t>Gasket:</t>
  </si>
  <si>
    <t>Wm2:</t>
  </si>
  <si>
    <t>Am1:</t>
  </si>
  <si>
    <t>Am2:</t>
  </si>
  <si>
    <t>Am:</t>
  </si>
  <si>
    <t>Am is the greater of Am1 or Am2.</t>
  </si>
  <si>
    <t>Ab:</t>
  </si>
  <si>
    <t>Ab is not to be less than Am.</t>
  </si>
  <si>
    <t>Operating:</t>
  </si>
  <si>
    <t>Mo=MD+MT+MG</t>
  </si>
  <si>
    <t>MD:</t>
  </si>
  <si>
    <t>MT:</t>
  </si>
  <si>
    <t>MG:</t>
  </si>
  <si>
    <t>MO:</t>
  </si>
  <si>
    <t>Mog:</t>
  </si>
  <si>
    <t>Z:</t>
  </si>
  <si>
    <t>Y:</t>
  </si>
  <si>
    <t>K:</t>
  </si>
  <si>
    <t>U:</t>
  </si>
  <si>
    <t>Fig.2-7.6 Value of f</t>
  </si>
  <si>
    <t>g1/go:</t>
  </si>
  <si>
    <t>h/ho:</t>
  </si>
  <si>
    <t>f:</t>
  </si>
  <si>
    <t>L:</t>
  </si>
  <si>
    <t>Fig. 2-7.2 Value of F</t>
  </si>
  <si>
    <t>F:</t>
  </si>
  <si>
    <t>Value of L</t>
  </si>
  <si>
    <t>e:</t>
  </si>
  <si>
    <t>V:</t>
  </si>
  <si>
    <t>Value of d:</t>
  </si>
  <si>
    <t>SH:</t>
  </si>
  <si>
    <t>SR:</t>
  </si>
  <si>
    <t>ST:</t>
  </si>
  <si>
    <t>Gasket</t>
  </si>
  <si>
    <t>Allowable</t>
  </si>
  <si>
    <t>G Woods</t>
  </si>
  <si>
    <t>VII.  Flange Rigidity</t>
  </si>
  <si>
    <t>E:</t>
  </si>
  <si>
    <t>J:</t>
  </si>
  <si>
    <t>VIII.  Probable Bolt Stress:</t>
  </si>
  <si>
    <t>(SH+SR)/2:</t>
  </si>
  <si>
    <t>(SH+ST)/2:</t>
  </si>
  <si>
    <t>Rgsur:</t>
  </si>
  <si>
    <t>N/2:</t>
  </si>
  <si>
    <t>Flange Factor Calculations</t>
  </si>
  <si>
    <t>C1:</t>
  </si>
  <si>
    <t>C2:</t>
  </si>
  <si>
    <t>C3:</t>
  </si>
  <si>
    <t>C4:</t>
  </si>
  <si>
    <t>C5:</t>
  </si>
  <si>
    <t>C6:</t>
  </si>
  <si>
    <t>C7:</t>
  </si>
  <si>
    <t>C8:</t>
  </si>
  <si>
    <t>C9:</t>
  </si>
  <si>
    <t>C10:</t>
  </si>
  <si>
    <t>C11:</t>
  </si>
  <si>
    <t>C12:</t>
  </si>
  <si>
    <t>C13:</t>
  </si>
  <si>
    <t>C14:</t>
  </si>
  <si>
    <t>C15:</t>
  </si>
  <si>
    <t>C16:</t>
  </si>
  <si>
    <t>C17:</t>
  </si>
  <si>
    <t>C18:</t>
  </si>
  <si>
    <t>C19:</t>
  </si>
  <si>
    <t>C20:</t>
  </si>
  <si>
    <t>C21:</t>
  </si>
  <si>
    <t>C22:</t>
  </si>
  <si>
    <t>C23:</t>
  </si>
  <si>
    <t>C24:</t>
  </si>
  <si>
    <t>C25:</t>
  </si>
  <si>
    <t>C26:</t>
  </si>
  <si>
    <t>C27:</t>
  </si>
  <si>
    <t>C28:</t>
  </si>
  <si>
    <t>C29:</t>
  </si>
  <si>
    <t>C30:</t>
  </si>
  <si>
    <t>C31:</t>
  </si>
  <si>
    <t>C32:</t>
  </si>
  <si>
    <t>C33:</t>
  </si>
  <si>
    <t>C34:</t>
  </si>
  <si>
    <t>C35:</t>
  </si>
  <si>
    <t>C36:</t>
  </si>
  <si>
    <t>C37:</t>
  </si>
  <si>
    <t>E1:</t>
  </si>
  <si>
    <t>E2:</t>
  </si>
  <si>
    <t>E3:</t>
  </si>
  <si>
    <t>E4:</t>
  </si>
  <si>
    <t>E5:</t>
  </si>
  <si>
    <t>E6:</t>
  </si>
  <si>
    <t>Calculated Values of T, U, Y, and Z</t>
  </si>
  <si>
    <t>F</t>
  </si>
  <si>
    <t>psig</t>
  </si>
  <si>
    <t>all US customary units</t>
  </si>
  <si>
    <t>Value of V</t>
  </si>
  <si>
    <t>psi</t>
  </si>
  <si>
    <t>ASME Section VIII Division 1 Appendix 2 Weld Neck Flange Analysis</t>
  </si>
  <si>
    <t>Rgsur: is the flange raise face dimension</t>
  </si>
  <si>
    <t>R: is calculated by Section VIII equation</t>
  </si>
  <si>
    <t>nominal bolt diameter</t>
  </si>
  <si>
    <t>bolt root diameter</t>
  </si>
  <si>
    <t>number of bolts</t>
  </si>
  <si>
    <t>dimensions per Section VIII-1 Fig. 2-4 (6)</t>
  </si>
  <si>
    <t>external overturning moment, in-lbs.</t>
  </si>
  <si>
    <t>yellow is input values, green is program calculated values, orange is definition.</t>
  </si>
  <si>
    <t>Bolt Loads, lbs.</t>
  </si>
  <si>
    <r>
      <t>Required bolt areas,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</si>
  <si>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Flange moments, in-lbs.</t>
  </si>
  <si>
    <t>V.  Flange Stress Calculations, psi</t>
  </si>
  <si>
    <t>b:</t>
  </si>
  <si>
    <r>
      <t>M</t>
    </r>
    <r>
      <rPr>
        <vertAlign val="subscript"/>
        <sz val="10"/>
        <rFont val="Arial"/>
        <family val="2"/>
      </rPr>
      <t>L:</t>
    </r>
  </si>
  <si>
    <t>Oper.</t>
  </si>
  <si>
    <t>Gasket Seating</t>
  </si>
  <si>
    <t>Gasket Seating, modulus of elasticity</t>
  </si>
  <si>
    <t>Project:</t>
  </si>
  <si>
    <t>Cal. by:</t>
  </si>
  <si>
    <t>Date:</t>
  </si>
  <si>
    <t>Job No:</t>
  </si>
  <si>
    <t xml:space="preserve">                ASME Section VIII - Division 1</t>
  </si>
  <si>
    <t xml:space="preserve">        Appendix 2 Weld Neck Flange Analysis</t>
  </si>
  <si>
    <t>Flange Description:</t>
  </si>
  <si>
    <t>Flange Location:</t>
  </si>
  <si>
    <t>I.  Design Conditions</t>
  </si>
  <si>
    <r>
      <t>o</t>
    </r>
    <r>
      <rPr>
        <sz val="10"/>
        <rFont val="Arial"/>
        <family val="0"/>
      </rPr>
      <t>F</t>
    </r>
  </si>
  <si>
    <t>Temp.:</t>
  </si>
  <si>
    <t>Pres.:</t>
  </si>
  <si>
    <t xml:space="preserve">  External Moment: </t>
  </si>
  <si>
    <t>in-lbs</t>
  </si>
  <si>
    <t>Equivalent pressure:</t>
  </si>
  <si>
    <t>II.  Flange, Bolt Material and Allowable Stresses</t>
  </si>
  <si>
    <t xml:space="preserve">  Analysis Pressure, P + Pe:</t>
  </si>
  <si>
    <r>
      <t xml:space="preserve">      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</si>
  <si>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</si>
  <si>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</si>
  <si>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</si>
  <si>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t>Flange:</t>
  </si>
  <si>
    <t xml:space="preserve">A = </t>
  </si>
  <si>
    <t xml:space="preserve">B = </t>
  </si>
  <si>
    <t xml:space="preserve">C = </t>
  </si>
  <si>
    <t xml:space="preserve">t = </t>
  </si>
  <si>
    <t>III.  Flange and Bolt Dimensions, inches</t>
  </si>
  <si>
    <t xml:space="preserve">        Bolt Material:</t>
  </si>
  <si>
    <t xml:space="preserve">    Flange Material:</t>
  </si>
  <si>
    <t xml:space="preserve">g1 = </t>
  </si>
  <si>
    <t xml:space="preserve">go = </t>
  </si>
  <si>
    <t xml:space="preserve">h = </t>
  </si>
  <si>
    <t>Bolt:</t>
  </si>
  <si>
    <t xml:space="preserve">       Bolt:</t>
  </si>
  <si>
    <t xml:space="preserve">   Nom. Diameter:</t>
  </si>
  <si>
    <t xml:space="preserve">     Root Diameter:</t>
  </si>
  <si>
    <t>No. Bolts:</t>
  </si>
  <si>
    <t>IV.  Gasket Dimensions and Factors</t>
  </si>
  <si>
    <t xml:space="preserve"> OD:</t>
  </si>
  <si>
    <t xml:space="preserve"> ID:</t>
  </si>
  <si>
    <t>inches</t>
  </si>
  <si>
    <t xml:space="preserve">         Dimensions: </t>
  </si>
  <si>
    <t xml:space="preserve">               Factors:</t>
  </si>
  <si>
    <t xml:space="preserve">m: </t>
  </si>
  <si>
    <t xml:space="preserve">y: </t>
  </si>
  <si>
    <t xml:space="preserve">b: </t>
  </si>
  <si>
    <t xml:space="preserve">G: </t>
  </si>
  <si>
    <t>V.  Flange Calculated Factors</t>
  </si>
  <si>
    <t>K =</t>
  </si>
  <si>
    <t xml:space="preserve">F = </t>
  </si>
  <si>
    <t xml:space="preserve">V = </t>
  </si>
  <si>
    <t>L =</t>
  </si>
  <si>
    <t>e =</t>
  </si>
  <si>
    <t xml:space="preserve">f = </t>
  </si>
  <si>
    <t xml:space="preserve">T = </t>
  </si>
  <si>
    <t xml:space="preserve">U = </t>
  </si>
  <si>
    <t>VI.  Flange Design Bolt Loads, lbs., Area, and Moments in-lbs., for Operating and Gasket Seating</t>
  </si>
  <si>
    <t xml:space="preserve">             Bolt Area:</t>
  </si>
  <si>
    <t xml:space="preserve">      Required Area:</t>
  </si>
  <si>
    <t>VII.  Flange Operating and Gasket Seating Stress and Allowable Stress</t>
  </si>
  <si>
    <t>(SH+SR)/2</t>
  </si>
  <si>
    <t>VI.  Allowable Stress Operating and Gasket Seating, psi</t>
  </si>
  <si>
    <t>(SH+ST)/2</t>
  </si>
  <si>
    <t xml:space="preserve">   Moment:</t>
  </si>
  <si>
    <t xml:space="preserve">E: </t>
  </si>
  <si>
    <t>VIII.  Flange Modulus of Elasticity, E psi, and Rigidity, J at Operating and Gasket Seating</t>
  </si>
  <si>
    <t>IX:  Probable Bolt Stress at Gasket Seating:</t>
  </si>
  <si>
    <t>X.  Moment to cause Flange Leakage:</t>
  </si>
  <si>
    <t>in-lbs.</t>
  </si>
  <si>
    <t xml:space="preserve"> Y =</t>
  </si>
  <si>
    <t>U =</t>
  </si>
  <si>
    <t>Flange design bolt load operating and gasket seating, lbs.</t>
  </si>
  <si>
    <t>Oper:</t>
  </si>
  <si>
    <t>Gask.:</t>
  </si>
  <si>
    <t>Operate</t>
  </si>
  <si>
    <r>
      <t>in</t>
    </r>
    <r>
      <rPr>
        <vertAlign val="superscript"/>
        <sz val="10"/>
        <rFont val="Arial"/>
        <family val="2"/>
      </rPr>
      <t>2</t>
    </r>
  </si>
  <si>
    <t>J &lt;= 1.0</t>
  </si>
  <si>
    <t>SH</t>
  </si>
  <si>
    <t>SR</t>
  </si>
  <si>
    <t>Nominal</t>
  </si>
  <si>
    <t xml:space="preserve">     Bolt Diameters</t>
  </si>
  <si>
    <t>Root</t>
  </si>
  <si>
    <t>WN FLANGE</t>
  </si>
  <si>
    <t>IX.  Leakage Moment, in-lbs.</t>
  </si>
  <si>
    <t>A105</t>
  </si>
  <si>
    <t>A193-B7</t>
  </si>
  <si>
    <t>NPS 12-150# WN Flange</t>
  </si>
  <si>
    <t>E-807 Nozzle F at elevation 162'-0 15/16"</t>
  </si>
  <si>
    <t>31057.01N</t>
  </si>
  <si>
    <t>OxyChem PVC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</si>
</sst>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34" borderId="0" xfId="0" applyNumberFormat="1" applyFill="1" applyAlignment="1">
      <alignment/>
    </xf>
    <xf numFmtId="2" fontId="1" fillId="34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left"/>
    </xf>
    <xf numFmtId="172" fontId="0" fillId="34" borderId="0" xfId="0" applyNumberFormat="1" applyFill="1" applyAlignment="1">
      <alignment horizontal="left"/>
    </xf>
    <xf numFmtId="1" fontId="0" fillId="34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72" fontId="0" fillId="36" borderId="0" xfId="0" applyNumberFormat="1" applyFill="1" applyAlignment="1">
      <alignment horizontal="center"/>
    </xf>
    <xf numFmtId="15" fontId="0" fillId="33" borderId="0" xfId="0" applyNumberFormat="1" applyFill="1" applyAlignment="1" quotePrefix="1">
      <alignment/>
    </xf>
    <xf numFmtId="15" fontId="0" fillId="0" borderId="0" xfId="0" applyNumberFormat="1" applyAlignment="1" quotePrefix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14</xdr:row>
      <xdr:rowOff>9525</xdr:rowOff>
    </xdr:from>
    <xdr:to>
      <xdr:col>8</xdr:col>
      <xdr:colOff>276225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733925" y="2276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0</xdr:rowOff>
    </xdr:from>
    <xdr:to>
      <xdr:col>8</xdr:col>
      <xdr:colOff>342900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733925" y="2914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18</xdr:row>
      <xdr:rowOff>0</xdr:rowOff>
    </xdr:from>
    <xdr:to>
      <xdr:col>8</xdr:col>
      <xdr:colOff>342900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4800600" y="2914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14</xdr:row>
      <xdr:rowOff>0</xdr:rowOff>
    </xdr:from>
    <xdr:to>
      <xdr:col>8</xdr:col>
      <xdr:colOff>276225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457700" y="2266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0</xdr:rowOff>
    </xdr:from>
    <xdr:to>
      <xdr:col>8</xdr:col>
      <xdr:colOff>342900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505200" y="3238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19</xdr:row>
      <xdr:rowOff>123825</xdr:rowOff>
    </xdr:from>
    <xdr:to>
      <xdr:col>6</xdr:col>
      <xdr:colOff>209550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505200" y="32004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19</xdr:row>
      <xdr:rowOff>0</xdr:rowOff>
    </xdr:from>
    <xdr:to>
      <xdr:col>6</xdr:col>
      <xdr:colOff>342900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3505200" y="30765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19</xdr:row>
      <xdr:rowOff>0</xdr:rowOff>
    </xdr:from>
    <xdr:to>
      <xdr:col>6</xdr:col>
      <xdr:colOff>419100</xdr:colOff>
      <xdr:row>19</xdr:row>
      <xdr:rowOff>0</xdr:rowOff>
    </xdr:to>
    <xdr:sp>
      <xdr:nvSpPr>
        <xdr:cNvPr id="8" name="Line 9"/>
        <xdr:cNvSpPr>
          <a:spLocks/>
        </xdr:cNvSpPr>
      </xdr:nvSpPr>
      <xdr:spPr>
        <a:xfrm>
          <a:off x="3638550" y="3076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66675</xdr:rowOff>
    </xdr:from>
    <xdr:to>
      <xdr:col>7</xdr:col>
      <xdr:colOff>514350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3724275" y="2819400"/>
          <a:ext cx="666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14</xdr:row>
      <xdr:rowOff>0</xdr:rowOff>
    </xdr:from>
    <xdr:to>
      <xdr:col>7</xdr:col>
      <xdr:colOff>581025</xdr:colOff>
      <xdr:row>16</xdr:row>
      <xdr:rowOff>152400</xdr:rowOff>
    </xdr:to>
    <xdr:sp>
      <xdr:nvSpPr>
        <xdr:cNvPr id="10" name="Line 11"/>
        <xdr:cNvSpPr>
          <a:spLocks/>
        </xdr:cNvSpPr>
      </xdr:nvSpPr>
      <xdr:spPr>
        <a:xfrm flipH="1">
          <a:off x="4457700" y="22669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16</xdr:row>
      <xdr:rowOff>0</xdr:rowOff>
    </xdr:from>
    <xdr:to>
      <xdr:col>8</xdr:col>
      <xdr:colOff>276225</xdr:colOff>
      <xdr:row>16</xdr:row>
      <xdr:rowOff>0</xdr:rowOff>
    </xdr:to>
    <xdr:sp>
      <xdr:nvSpPr>
        <xdr:cNvPr id="11" name="Line 13"/>
        <xdr:cNvSpPr>
          <a:spLocks/>
        </xdr:cNvSpPr>
      </xdr:nvSpPr>
      <xdr:spPr>
        <a:xfrm>
          <a:off x="4457700" y="259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85725</xdr:rowOff>
    </xdr:from>
    <xdr:to>
      <xdr:col>9</xdr:col>
      <xdr:colOff>295275</xdr:colOff>
      <xdr:row>15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4248150" y="2514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13</xdr:row>
      <xdr:rowOff>9525</xdr:rowOff>
    </xdr:from>
    <xdr:to>
      <xdr:col>6</xdr:col>
      <xdr:colOff>428625</xdr:colOff>
      <xdr:row>18</xdr:row>
      <xdr:rowOff>19050</xdr:rowOff>
    </xdr:to>
    <xdr:sp>
      <xdr:nvSpPr>
        <xdr:cNvPr id="13" name="Line 15"/>
        <xdr:cNvSpPr>
          <a:spLocks/>
        </xdr:cNvSpPr>
      </xdr:nvSpPr>
      <xdr:spPr>
        <a:xfrm flipV="1">
          <a:off x="3724275" y="21145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13</xdr:row>
      <xdr:rowOff>0</xdr:rowOff>
    </xdr:from>
    <xdr:to>
      <xdr:col>7</xdr:col>
      <xdr:colOff>581025</xdr:colOff>
      <xdr:row>13</xdr:row>
      <xdr:rowOff>104775</xdr:rowOff>
    </xdr:to>
    <xdr:sp>
      <xdr:nvSpPr>
        <xdr:cNvPr id="14" name="Line 16"/>
        <xdr:cNvSpPr>
          <a:spLocks/>
        </xdr:cNvSpPr>
      </xdr:nvSpPr>
      <xdr:spPr>
        <a:xfrm flipV="1">
          <a:off x="4457700" y="2105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12</xdr:row>
      <xdr:rowOff>152400</xdr:rowOff>
    </xdr:from>
    <xdr:to>
      <xdr:col>8</xdr:col>
      <xdr:colOff>276225</xdr:colOff>
      <xdr:row>13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4733925" y="2095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16" name="Line 18"/>
        <xdr:cNvSpPr>
          <a:spLocks/>
        </xdr:cNvSpPr>
      </xdr:nvSpPr>
      <xdr:spPr>
        <a:xfrm>
          <a:off x="4876800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14</xdr:row>
      <xdr:rowOff>0</xdr:rowOff>
    </xdr:from>
    <xdr:to>
      <xdr:col>9</xdr:col>
      <xdr:colOff>466725</xdr:colOff>
      <xdr:row>14</xdr:row>
      <xdr:rowOff>0</xdr:rowOff>
    </xdr:to>
    <xdr:sp>
      <xdr:nvSpPr>
        <xdr:cNvPr id="17" name="Line 19"/>
        <xdr:cNvSpPr>
          <a:spLocks/>
        </xdr:cNvSpPr>
      </xdr:nvSpPr>
      <xdr:spPr>
        <a:xfrm>
          <a:off x="4819650" y="226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13</xdr:row>
      <xdr:rowOff>66675</xdr:rowOff>
    </xdr:from>
    <xdr:to>
      <xdr:col>7</xdr:col>
      <xdr:colOff>133350</xdr:colOff>
      <xdr:row>13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3733800" y="2171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57150</xdr:rowOff>
    </xdr:from>
    <xdr:to>
      <xdr:col>7</xdr:col>
      <xdr:colOff>581025</xdr:colOff>
      <xdr:row>13</xdr:row>
      <xdr:rowOff>57150</xdr:rowOff>
    </xdr:to>
    <xdr:sp>
      <xdr:nvSpPr>
        <xdr:cNvPr id="19" name="Line 21"/>
        <xdr:cNvSpPr>
          <a:spLocks/>
        </xdr:cNvSpPr>
      </xdr:nvSpPr>
      <xdr:spPr>
        <a:xfrm>
          <a:off x="4171950" y="216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152400</xdr:colOff>
      <xdr:row>12</xdr:row>
      <xdr:rowOff>133350</xdr:rowOff>
    </xdr:from>
    <xdr:ext cx="123825" cy="171450"/>
    <xdr:sp>
      <xdr:nvSpPr>
        <xdr:cNvPr id="20" name="Text Box 22"/>
        <xdr:cNvSpPr txBox="1">
          <a:spLocks noChangeArrowheads="1"/>
        </xdr:cNvSpPr>
      </xdr:nvSpPr>
      <xdr:spPr>
        <a:xfrm>
          <a:off x="4029075" y="20764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8</xdr:col>
      <xdr:colOff>266700</xdr:colOff>
      <xdr:row>13</xdr:row>
      <xdr:rowOff>66675</xdr:rowOff>
    </xdr:from>
    <xdr:to>
      <xdr:col>8</xdr:col>
      <xdr:colOff>466725</xdr:colOff>
      <xdr:row>13</xdr:row>
      <xdr:rowOff>66675</xdr:rowOff>
    </xdr:to>
    <xdr:sp>
      <xdr:nvSpPr>
        <xdr:cNvPr id="21" name="Line 24"/>
        <xdr:cNvSpPr>
          <a:spLocks/>
        </xdr:cNvSpPr>
      </xdr:nvSpPr>
      <xdr:spPr>
        <a:xfrm flipH="1" flipV="1">
          <a:off x="4724400" y="217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352425</xdr:colOff>
      <xdr:row>20</xdr:row>
      <xdr:rowOff>85725</xdr:rowOff>
    </xdr:from>
    <xdr:ext cx="161925" cy="190500"/>
    <xdr:sp>
      <xdr:nvSpPr>
        <xdr:cNvPr id="22" name="Text Box 25"/>
        <xdr:cNvSpPr txBox="1">
          <a:spLocks noChangeArrowheads="1"/>
        </xdr:cNvSpPr>
      </xdr:nvSpPr>
      <xdr:spPr>
        <a:xfrm>
          <a:off x="5419725" y="33242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9</xdr:col>
      <xdr:colOff>419100</xdr:colOff>
      <xdr:row>13</xdr:row>
      <xdr:rowOff>152400</xdr:rowOff>
    </xdr:from>
    <xdr:to>
      <xdr:col>9</xdr:col>
      <xdr:colOff>419100</xdr:colOff>
      <xdr:row>20</xdr:row>
      <xdr:rowOff>76200</xdr:rowOff>
    </xdr:to>
    <xdr:sp>
      <xdr:nvSpPr>
        <xdr:cNvPr id="23" name="Line 26"/>
        <xdr:cNvSpPr>
          <a:spLocks/>
        </xdr:cNvSpPr>
      </xdr:nvSpPr>
      <xdr:spPr>
        <a:xfrm flipH="1" flipV="1">
          <a:off x="5486400" y="225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16</xdr:row>
      <xdr:rowOff>133350</xdr:rowOff>
    </xdr:from>
    <xdr:to>
      <xdr:col>7</xdr:col>
      <xdr:colOff>581025</xdr:colOff>
      <xdr:row>17</xdr:row>
      <xdr:rowOff>76200</xdr:rowOff>
    </xdr:to>
    <xdr:sp>
      <xdr:nvSpPr>
        <xdr:cNvPr id="24" name="Freeform 28"/>
        <xdr:cNvSpPr>
          <a:spLocks/>
        </xdr:cNvSpPr>
      </xdr:nvSpPr>
      <xdr:spPr>
        <a:xfrm>
          <a:off x="4371975" y="2724150"/>
          <a:ext cx="85725" cy="104775"/>
        </a:xfrm>
        <a:custGeom>
          <a:pathLst>
            <a:path h="11" w="9">
              <a:moveTo>
                <a:pt x="9" y="0"/>
              </a:moveTo>
              <a:cubicBezTo>
                <a:pt x="9" y="2"/>
                <a:pt x="9" y="5"/>
                <a:pt x="8" y="7"/>
              </a:cubicBezTo>
              <a:cubicBezTo>
                <a:pt x="7" y="9"/>
                <a:pt x="3" y="10"/>
                <a:pt x="0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15</xdr:row>
      <xdr:rowOff>9525</xdr:rowOff>
    </xdr:from>
    <xdr:to>
      <xdr:col>8</xdr:col>
      <xdr:colOff>295275</xdr:colOff>
      <xdr:row>15</xdr:row>
      <xdr:rowOff>9525</xdr:rowOff>
    </xdr:to>
    <xdr:sp>
      <xdr:nvSpPr>
        <xdr:cNvPr id="25" name="Line 29"/>
        <xdr:cNvSpPr>
          <a:spLocks/>
        </xdr:cNvSpPr>
      </xdr:nvSpPr>
      <xdr:spPr>
        <a:xfrm flipV="1">
          <a:off x="4457700" y="2438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85725</xdr:rowOff>
    </xdr:from>
    <xdr:to>
      <xdr:col>9</xdr:col>
      <xdr:colOff>219075</xdr:colOff>
      <xdr:row>20</xdr:row>
      <xdr:rowOff>0</xdr:rowOff>
    </xdr:to>
    <xdr:sp>
      <xdr:nvSpPr>
        <xdr:cNvPr id="26" name="Line 30"/>
        <xdr:cNvSpPr>
          <a:spLocks/>
        </xdr:cNvSpPr>
      </xdr:nvSpPr>
      <xdr:spPr>
        <a:xfrm flipV="1">
          <a:off x="5286375" y="2514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152400</xdr:colOff>
      <xdr:row>20</xdr:row>
      <xdr:rowOff>0</xdr:rowOff>
    </xdr:from>
    <xdr:ext cx="142875" cy="161925"/>
    <xdr:sp>
      <xdr:nvSpPr>
        <xdr:cNvPr id="27" name="Text Box 31"/>
        <xdr:cNvSpPr txBox="1">
          <a:spLocks noChangeArrowheads="1"/>
        </xdr:cNvSpPr>
      </xdr:nvSpPr>
      <xdr:spPr>
        <a:xfrm>
          <a:off x="5219700" y="3238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8</xdr:col>
      <xdr:colOff>581025</xdr:colOff>
      <xdr:row>17</xdr:row>
      <xdr:rowOff>152400</xdr:rowOff>
    </xdr:from>
    <xdr:to>
      <xdr:col>8</xdr:col>
      <xdr:colOff>590550</xdr:colOff>
      <xdr:row>22</xdr:row>
      <xdr:rowOff>38100</xdr:rowOff>
    </xdr:to>
    <xdr:sp>
      <xdr:nvSpPr>
        <xdr:cNvPr id="28" name="Line 32"/>
        <xdr:cNvSpPr>
          <a:spLocks/>
        </xdr:cNvSpPr>
      </xdr:nvSpPr>
      <xdr:spPr>
        <a:xfrm flipV="1">
          <a:off x="5038725" y="2905125"/>
          <a:ext cx="9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428625</xdr:colOff>
      <xdr:row>22</xdr:row>
      <xdr:rowOff>28575</xdr:rowOff>
    </xdr:from>
    <xdr:ext cx="371475" cy="190500"/>
    <xdr:sp>
      <xdr:nvSpPr>
        <xdr:cNvPr id="29" name="Text Box 33"/>
        <xdr:cNvSpPr txBox="1">
          <a:spLocks noChangeArrowheads="1"/>
        </xdr:cNvSpPr>
      </xdr:nvSpPr>
      <xdr:spPr>
        <a:xfrm>
          <a:off x="4886325" y="35909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Rgsur</a:t>
          </a:r>
        </a:p>
      </xdr:txBody>
    </xdr:sp>
    <xdr:clientData/>
  </xdr:oneCellAnchor>
  <xdr:twoCellAnchor>
    <xdr:from>
      <xdr:col>8</xdr:col>
      <xdr:colOff>285750</xdr:colOff>
      <xdr:row>20</xdr:row>
      <xdr:rowOff>0</xdr:rowOff>
    </xdr:from>
    <xdr:to>
      <xdr:col>8</xdr:col>
      <xdr:colOff>285750</xdr:colOff>
      <xdr:row>21</xdr:row>
      <xdr:rowOff>57150</xdr:rowOff>
    </xdr:to>
    <xdr:sp>
      <xdr:nvSpPr>
        <xdr:cNvPr id="30" name="Line 34"/>
        <xdr:cNvSpPr>
          <a:spLocks/>
        </xdr:cNvSpPr>
      </xdr:nvSpPr>
      <xdr:spPr>
        <a:xfrm flipV="1">
          <a:off x="47434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209550</xdr:colOff>
      <xdr:row>21</xdr:row>
      <xdr:rowOff>38100</xdr:rowOff>
    </xdr:from>
    <xdr:ext cx="142875" cy="152400"/>
    <xdr:sp>
      <xdr:nvSpPr>
        <xdr:cNvPr id="31" name="Text Box 35"/>
        <xdr:cNvSpPr txBox="1">
          <a:spLocks noChangeArrowheads="1"/>
        </xdr:cNvSpPr>
      </xdr:nvSpPr>
      <xdr:spPr>
        <a:xfrm>
          <a:off x="4667250" y="34385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7</xdr:col>
      <xdr:colOff>209550</xdr:colOff>
      <xdr:row>17</xdr:row>
      <xdr:rowOff>28575</xdr:rowOff>
    </xdr:from>
    <xdr:to>
      <xdr:col>7</xdr:col>
      <xdr:colOff>514350</xdr:colOff>
      <xdr:row>17</xdr:row>
      <xdr:rowOff>28575</xdr:rowOff>
    </xdr:to>
    <xdr:sp>
      <xdr:nvSpPr>
        <xdr:cNvPr id="32" name="Line 36"/>
        <xdr:cNvSpPr>
          <a:spLocks/>
        </xdr:cNvSpPr>
      </xdr:nvSpPr>
      <xdr:spPr>
        <a:xfrm flipH="1">
          <a:off x="4086225" y="2781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18</xdr:row>
      <xdr:rowOff>19050</xdr:rowOff>
    </xdr:from>
    <xdr:ext cx="238125" cy="180975"/>
    <xdr:sp>
      <xdr:nvSpPr>
        <xdr:cNvPr id="33" name="Text Box 37"/>
        <xdr:cNvSpPr txBox="1">
          <a:spLocks noChangeArrowheads="1"/>
        </xdr:cNvSpPr>
      </xdr:nvSpPr>
      <xdr:spPr>
        <a:xfrm>
          <a:off x="4152900" y="29337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g1</a:t>
          </a:r>
        </a:p>
      </xdr:txBody>
    </xdr:sp>
    <xdr:clientData/>
  </xdr:oneCellAnchor>
  <xdr:twoCellAnchor>
    <xdr:from>
      <xdr:col>7</xdr:col>
      <xdr:colOff>361950</xdr:colOff>
      <xdr:row>17</xdr:row>
      <xdr:rowOff>28575</xdr:rowOff>
    </xdr:from>
    <xdr:to>
      <xdr:col>7</xdr:col>
      <xdr:colOff>361950</xdr:colOff>
      <xdr:row>18</xdr:row>
      <xdr:rowOff>19050</xdr:rowOff>
    </xdr:to>
    <xdr:sp>
      <xdr:nvSpPr>
        <xdr:cNvPr id="34" name="Line 38"/>
        <xdr:cNvSpPr>
          <a:spLocks/>
        </xdr:cNvSpPr>
      </xdr:nvSpPr>
      <xdr:spPr>
        <a:xfrm flipV="1">
          <a:off x="4238625" y="2781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19</xdr:row>
      <xdr:rowOff>57150</xdr:rowOff>
    </xdr:from>
    <xdr:to>
      <xdr:col>7</xdr:col>
      <xdr:colOff>371475</xdr:colOff>
      <xdr:row>20</xdr:row>
      <xdr:rowOff>0</xdr:rowOff>
    </xdr:to>
    <xdr:sp>
      <xdr:nvSpPr>
        <xdr:cNvPr id="35" name="Line 39"/>
        <xdr:cNvSpPr>
          <a:spLocks/>
        </xdr:cNvSpPr>
      </xdr:nvSpPr>
      <xdr:spPr>
        <a:xfrm>
          <a:off x="4248150" y="3133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104775</xdr:colOff>
      <xdr:row>20</xdr:row>
      <xdr:rowOff>0</xdr:rowOff>
    </xdr:to>
    <xdr:sp>
      <xdr:nvSpPr>
        <xdr:cNvPr id="36" name="Line 40"/>
        <xdr:cNvSpPr>
          <a:spLocks/>
        </xdr:cNvSpPr>
      </xdr:nvSpPr>
      <xdr:spPr>
        <a:xfrm flipH="1">
          <a:off x="3200400" y="3238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19</xdr:row>
      <xdr:rowOff>0</xdr:rowOff>
    </xdr:from>
    <xdr:to>
      <xdr:col>6</xdr:col>
      <xdr:colOff>171450</xdr:colOff>
      <xdr:row>19</xdr:row>
      <xdr:rowOff>0</xdr:rowOff>
    </xdr:to>
    <xdr:sp>
      <xdr:nvSpPr>
        <xdr:cNvPr id="37" name="Line 41"/>
        <xdr:cNvSpPr>
          <a:spLocks/>
        </xdr:cNvSpPr>
      </xdr:nvSpPr>
      <xdr:spPr>
        <a:xfrm flipH="1">
          <a:off x="3171825" y="3076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409575</xdr:colOff>
      <xdr:row>18</xdr:row>
      <xdr:rowOff>152400</xdr:rowOff>
    </xdr:from>
    <xdr:ext cx="209550" cy="180975"/>
    <xdr:sp>
      <xdr:nvSpPr>
        <xdr:cNvPr id="38" name="Text Box 42"/>
        <xdr:cNvSpPr txBox="1">
          <a:spLocks noChangeArrowheads="1"/>
        </xdr:cNvSpPr>
      </xdr:nvSpPr>
      <xdr:spPr>
        <a:xfrm>
          <a:off x="3190875" y="30670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</a:t>
          </a:r>
        </a:p>
      </xdr:txBody>
    </xdr:sp>
    <xdr:clientData/>
  </xdr:oneCellAnchor>
  <xdr:twoCellAnchor>
    <xdr:from>
      <xdr:col>6</xdr:col>
      <xdr:colOff>57150</xdr:colOff>
      <xdr:row>18</xdr:row>
      <xdr:rowOff>38100</xdr:rowOff>
    </xdr:from>
    <xdr:to>
      <xdr:col>6</xdr:col>
      <xdr:colOff>57150</xdr:colOff>
      <xdr:row>19</xdr:row>
      <xdr:rowOff>0</xdr:rowOff>
    </xdr:to>
    <xdr:sp>
      <xdr:nvSpPr>
        <xdr:cNvPr id="39" name="Line 43"/>
        <xdr:cNvSpPr>
          <a:spLocks/>
        </xdr:cNvSpPr>
      </xdr:nvSpPr>
      <xdr:spPr>
        <a:xfrm>
          <a:off x="3352800" y="2952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0</xdr:rowOff>
    </xdr:from>
    <xdr:to>
      <xdr:col>6</xdr:col>
      <xdr:colOff>57150</xdr:colOff>
      <xdr:row>20</xdr:row>
      <xdr:rowOff>114300</xdr:rowOff>
    </xdr:to>
    <xdr:sp>
      <xdr:nvSpPr>
        <xdr:cNvPr id="40" name="Line 44"/>
        <xdr:cNvSpPr>
          <a:spLocks/>
        </xdr:cNvSpPr>
      </xdr:nvSpPr>
      <xdr:spPr>
        <a:xfrm flipV="1">
          <a:off x="3343275" y="32385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66675</xdr:colOff>
      <xdr:row>12</xdr:row>
      <xdr:rowOff>133350</xdr:rowOff>
    </xdr:from>
    <xdr:ext cx="104775" cy="152400"/>
    <xdr:sp>
      <xdr:nvSpPr>
        <xdr:cNvPr id="41" name="Text Box 45"/>
        <xdr:cNvSpPr txBox="1">
          <a:spLocks noChangeArrowheads="1"/>
        </xdr:cNvSpPr>
      </xdr:nvSpPr>
      <xdr:spPr>
        <a:xfrm>
          <a:off x="4524375" y="20764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8</xdr:col>
      <xdr:colOff>352425</xdr:colOff>
      <xdr:row>18</xdr:row>
      <xdr:rowOff>47625</xdr:rowOff>
    </xdr:from>
    <xdr:to>
      <xdr:col>8</xdr:col>
      <xdr:colOff>371475</xdr:colOff>
      <xdr:row>18</xdr:row>
      <xdr:rowOff>57150</xdr:rowOff>
    </xdr:to>
    <xdr:sp>
      <xdr:nvSpPr>
        <xdr:cNvPr id="42" name="Line 46"/>
        <xdr:cNvSpPr>
          <a:spLocks/>
        </xdr:cNvSpPr>
      </xdr:nvSpPr>
      <xdr:spPr>
        <a:xfrm rot="4293903" flipV="1">
          <a:off x="4810125" y="29622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57150</xdr:rowOff>
    </xdr:from>
    <xdr:to>
      <xdr:col>8</xdr:col>
      <xdr:colOff>371475</xdr:colOff>
      <xdr:row>20</xdr:row>
      <xdr:rowOff>0</xdr:rowOff>
    </xdr:to>
    <xdr:sp>
      <xdr:nvSpPr>
        <xdr:cNvPr id="43" name="Line 47"/>
        <xdr:cNvSpPr>
          <a:spLocks/>
        </xdr:cNvSpPr>
      </xdr:nvSpPr>
      <xdr:spPr>
        <a:xfrm>
          <a:off x="4829175" y="2971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0</xdr:rowOff>
    </xdr:from>
    <xdr:to>
      <xdr:col>8</xdr:col>
      <xdr:colOff>371475</xdr:colOff>
      <xdr:row>20</xdr:row>
      <xdr:rowOff>0</xdr:rowOff>
    </xdr:to>
    <xdr:sp>
      <xdr:nvSpPr>
        <xdr:cNvPr id="44" name="Line 48"/>
        <xdr:cNvSpPr>
          <a:spLocks/>
        </xdr:cNvSpPr>
      </xdr:nvSpPr>
      <xdr:spPr>
        <a:xfrm flipH="1">
          <a:off x="4810125" y="3238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</xdr:row>
      <xdr:rowOff>28575</xdr:rowOff>
    </xdr:from>
    <xdr:to>
      <xdr:col>8</xdr:col>
      <xdr:colOff>533400</xdr:colOff>
      <xdr:row>19</xdr:row>
      <xdr:rowOff>28575</xdr:rowOff>
    </xdr:to>
    <xdr:sp>
      <xdr:nvSpPr>
        <xdr:cNvPr id="45" name="Line 49"/>
        <xdr:cNvSpPr>
          <a:spLocks/>
        </xdr:cNvSpPr>
      </xdr:nvSpPr>
      <xdr:spPr>
        <a:xfrm>
          <a:off x="4857750" y="310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38100</xdr:rowOff>
    </xdr:from>
    <xdr:to>
      <xdr:col>8</xdr:col>
      <xdr:colOff>457200</xdr:colOff>
      <xdr:row>21</xdr:row>
      <xdr:rowOff>28575</xdr:rowOff>
    </xdr:to>
    <xdr:sp>
      <xdr:nvSpPr>
        <xdr:cNvPr id="46" name="Line 50"/>
        <xdr:cNvSpPr>
          <a:spLocks/>
        </xdr:cNvSpPr>
      </xdr:nvSpPr>
      <xdr:spPr>
        <a:xfrm flipV="1">
          <a:off x="4914900" y="3114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21</xdr:row>
      <xdr:rowOff>9525</xdr:rowOff>
    </xdr:from>
    <xdr:ext cx="142875" cy="152400"/>
    <xdr:sp>
      <xdr:nvSpPr>
        <xdr:cNvPr id="47" name="Text Box 51"/>
        <xdr:cNvSpPr txBox="1">
          <a:spLocks noChangeArrowheads="1"/>
        </xdr:cNvSpPr>
      </xdr:nvSpPr>
      <xdr:spPr>
        <a:xfrm>
          <a:off x="4857750" y="34099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7</xdr:col>
      <xdr:colOff>447675</xdr:colOff>
      <xdr:row>16</xdr:row>
      <xdr:rowOff>9525</xdr:rowOff>
    </xdr:from>
    <xdr:to>
      <xdr:col>8</xdr:col>
      <xdr:colOff>76200</xdr:colOff>
      <xdr:row>18</xdr:row>
      <xdr:rowOff>104775</xdr:rowOff>
    </xdr:to>
    <xdr:sp>
      <xdr:nvSpPr>
        <xdr:cNvPr id="48" name="Arc 55"/>
        <xdr:cNvSpPr>
          <a:spLocks/>
        </xdr:cNvSpPr>
      </xdr:nvSpPr>
      <xdr:spPr>
        <a:xfrm>
          <a:off x="4324350" y="2600325"/>
          <a:ext cx="209550" cy="419100"/>
        </a:xfrm>
        <a:custGeom>
          <a:pathLst>
            <a:path fill="none" h="43061" w="29948">
              <a:moveTo>
                <a:pt x="29948" y="41382"/>
              </a:moveTo>
              <a:cubicBezTo>
                <a:pt x="27304" y="42490"/>
                <a:pt x="24466" y="43060"/>
                <a:pt x="21600" y="43061"/>
              </a:cubicBezTo>
              <a:cubicBezTo>
                <a:pt x="9670" y="43061"/>
                <a:pt x="0" y="33390"/>
                <a:pt x="0" y="21461"/>
              </a:cubicBezTo>
              <a:cubicBezTo>
                <a:pt x="-1" y="10479"/>
                <a:pt x="8240" y="1245"/>
                <a:pt x="19151" y="0"/>
              </a:cubicBezTo>
            </a:path>
            <a:path stroke="0" h="43061" w="29948">
              <a:moveTo>
                <a:pt x="29948" y="41382"/>
              </a:moveTo>
              <a:cubicBezTo>
                <a:pt x="27304" y="42490"/>
                <a:pt x="24466" y="43060"/>
                <a:pt x="21600" y="43061"/>
              </a:cubicBezTo>
              <a:cubicBezTo>
                <a:pt x="9670" y="43061"/>
                <a:pt x="0" y="33390"/>
                <a:pt x="0" y="21461"/>
              </a:cubicBezTo>
              <a:cubicBezTo>
                <a:pt x="-1" y="10479"/>
                <a:pt x="8240" y="1245"/>
                <a:pt x="19151" y="0"/>
              </a:cubicBezTo>
              <a:lnTo>
                <a:pt x="21600" y="21461"/>
              </a:lnTo>
              <a:lnTo>
                <a:pt x="29948" y="413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15</xdr:row>
      <xdr:rowOff>123825</xdr:rowOff>
    </xdr:from>
    <xdr:to>
      <xdr:col>8</xdr:col>
      <xdr:colOff>38100</xdr:colOff>
      <xdr:row>16</xdr:row>
      <xdr:rowOff>19050</xdr:rowOff>
    </xdr:to>
    <xdr:sp>
      <xdr:nvSpPr>
        <xdr:cNvPr id="49" name="Line 56"/>
        <xdr:cNvSpPr>
          <a:spLocks/>
        </xdr:cNvSpPr>
      </xdr:nvSpPr>
      <xdr:spPr>
        <a:xfrm flipV="1">
          <a:off x="4419600" y="255270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152400</xdr:rowOff>
    </xdr:from>
    <xdr:to>
      <xdr:col>10</xdr:col>
      <xdr:colOff>0</xdr:colOff>
      <xdr:row>24</xdr:row>
      <xdr:rowOff>152400</xdr:rowOff>
    </xdr:to>
    <xdr:sp>
      <xdr:nvSpPr>
        <xdr:cNvPr id="50" name="Line 62"/>
        <xdr:cNvSpPr>
          <a:spLocks/>
        </xdr:cNvSpPr>
      </xdr:nvSpPr>
      <xdr:spPr>
        <a:xfrm>
          <a:off x="4467225" y="4038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152400</xdr:rowOff>
    </xdr:from>
    <xdr:to>
      <xdr:col>9</xdr:col>
      <xdr:colOff>0</xdr:colOff>
      <xdr:row>44</xdr:row>
      <xdr:rowOff>9525</xdr:rowOff>
    </xdr:to>
    <xdr:sp>
      <xdr:nvSpPr>
        <xdr:cNvPr id="51" name="Line 63"/>
        <xdr:cNvSpPr>
          <a:spLocks/>
        </xdr:cNvSpPr>
      </xdr:nvSpPr>
      <xdr:spPr>
        <a:xfrm>
          <a:off x="5067300" y="40386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52" name="Line 64"/>
        <xdr:cNvSpPr>
          <a:spLocks/>
        </xdr:cNvSpPr>
      </xdr:nvSpPr>
      <xdr:spPr>
        <a:xfrm>
          <a:off x="4457700" y="7143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44</xdr:row>
      <xdr:rowOff>9525</xdr:rowOff>
    </xdr:to>
    <xdr:sp>
      <xdr:nvSpPr>
        <xdr:cNvPr id="53" name="Line 65"/>
        <xdr:cNvSpPr>
          <a:spLocks/>
        </xdr:cNvSpPr>
      </xdr:nvSpPr>
      <xdr:spPr>
        <a:xfrm>
          <a:off x="4457700" y="3886200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23</xdr:row>
      <xdr:rowOff>152400</xdr:rowOff>
    </xdr:from>
    <xdr:to>
      <xdr:col>9</xdr:col>
      <xdr:colOff>571500</xdr:colOff>
      <xdr:row>44</xdr:row>
      <xdr:rowOff>9525</xdr:rowOff>
    </xdr:to>
    <xdr:sp>
      <xdr:nvSpPr>
        <xdr:cNvPr id="54" name="Line 66"/>
        <xdr:cNvSpPr>
          <a:spLocks/>
        </xdr:cNvSpPr>
      </xdr:nvSpPr>
      <xdr:spPr>
        <a:xfrm>
          <a:off x="5638800" y="3876675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152400</xdr:rowOff>
    </xdr:from>
    <xdr:to>
      <xdr:col>9</xdr:col>
      <xdr:colOff>571500</xdr:colOff>
      <xdr:row>23</xdr:row>
      <xdr:rowOff>152400</xdr:rowOff>
    </xdr:to>
    <xdr:sp>
      <xdr:nvSpPr>
        <xdr:cNvPr id="55" name="Line 67"/>
        <xdr:cNvSpPr>
          <a:spLocks/>
        </xdr:cNvSpPr>
      </xdr:nvSpPr>
      <xdr:spPr>
        <a:xfrm>
          <a:off x="4457700" y="3876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56" name="Line 68"/>
        <xdr:cNvSpPr>
          <a:spLocks/>
        </xdr:cNvSpPr>
      </xdr:nvSpPr>
      <xdr:spPr>
        <a:xfrm>
          <a:off x="4457700" y="421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">
      <selection activeCell="B149" sqref="B149"/>
    </sheetView>
  </sheetViews>
  <sheetFormatPr defaultColWidth="9.140625" defaultRowHeight="12.75"/>
  <cols>
    <col min="1" max="1" width="9.7109375" style="0" customWidth="1"/>
    <col min="2" max="2" width="8.8515625" style="0" customWidth="1"/>
    <col min="3" max="3" width="7.7109375" style="0" customWidth="1"/>
    <col min="4" max="4" width="8.7109375" style="0" customWidth="1"/>
    <col min="5" max="5" width="6.7109375" style="0" customWidth="1"/>
    <col min="6" max="6" width="7.7109375" style="0" customWidth="1"/>
    <col min="7" max="8" width="8.7109375" style="0" customWidth="1"/>
    <col min="10" max="10" width="8.7109375" style="0" customWidth="1"/>
  </cols>
  <sheetData>
    <row r="1" spans="9:10" ht="12.75">
      <c r="I1" t="s">
        <v>74</v>
      </c>
      <c r="J1" s="30">
        <v>38882</v>
      </c>
    </row>
    <row r="2" ht="12.75">
      <c r="A2" t="s">
        <v>133</v>
      </c>
    </row>
    <row r="3" ht="12.75">
      <c r="A3" t="s">
        <v>130</v>
      </c>
    </row>
    <row r="4" spans="1:9" ht="12.75">
      <c r="A4" s="1" t="s">
        <v>141</v>
      </c>
      <c r="B4" s="1"/>
      <c r="C4" s="3"/>
      <c r="D4" s="3"/>
      <c r="E4" s="3"/>
      <c r="F4" s="3"/>
      <c r="G4" s="13"/>
      <c r="H4" s="13"/>
      <c r="I4" s="13"/>
    </row>
    <row r="5" ht="12.75">
      <c r="A5" t="s">
        <v>0</v>
      </c>
    </row>
    <row r="7" spans="1:6" ht="12.75">
      <c r="A7" s="5" t="s">
        <v>1</v>
      </c>
      <c r="B7" s="1">
        <v>12</v>
      </c>
      <c r="C7" s="5" t="s">
        <v>2</v>
      </c>
      <c r="D7" s="1">
        <v>150</v>
      </c>
      <c r="E7" t="s">
        <v>3</v>
      </c>
      <c r="F7" s="2" t="s">
        <v>233</v>
      </c>
    </row>
    <row r="8" spans="1:8" ht="12.75">
      <c r="A8" s="5" t="s">
        <v>4</v>
      </c>
      <c r="B8" s="10">
        <v>19</v>
      </c>
      <c r="D8" s="13" t="s">
        <v>139</v>
      </c>
      <c r="E8" s="13"/>
      <c r="F8" s="13"/>
      <c r="G8" s="13"/>
      <c r="H8" s="13"/>
    </row>
    <row r="9" spans="1:2" ht="12.75">
      <c r="A9" s="5" t="s">
        <v>5</v>
      </c>
      <c r="B9" s="10">
        <v>12.25</v>
      </c>
    </row>
    <row r="10" spans="1:2" ht="12.75">
      <c r="A10" s="5" t="s">
        <v>6</v>
      </c>
      <c r="B10" s="10">
        <v>17</v>
      </c>
    </row>
    <row r="11" spans="1:2" ht="12.75">
      <c r="A11" s="5" t="s">
        <v>7</v>
      </c>
      <c r="B11" s="10">
        <v>1.19</v>
      </c>
    </row>
    <row r="12" spans="1:8" ht="12.75">
      <c r="A12" s="5" t="s">
        <v>8</v>
      </c>
      <c r="B12" s="10">
        <v>3</v>
      </c>
      <c r="D12" s="13" t="s">
        <v>134</v>
      </c>
      <c r="E12" s="13"/>
      <c r="F12" s="13"/>
      <c r="G12" s="13"/>
      <c r="H12" s="13"/>
    </row>
    <row r="13" spans="1:8" ht="12.75">
      <c r="A13" s="5" t="s">
        <v>9</v>
      </c>
      <c r="B13" s="10">
        <v>0.25</v>
      </c>
      <c r="D13" s="13" t="s">
        <v>135</v>
      </c>
      <c r="E13" s="13"/>
      <c r="F13" s="13"/>
      <c r="G13" s="13"/>
      <c r="H13" s="13"/>
    </row>
    <row r="14" spans="1:2" ht="12.75">
      <c r="A14" s="5" t="s">
        <v>10</v>
      </c>
      <c r="B14" s="10">
        <v>1.065</v>
      </c>
    </row>
    <row r="15" spans="1:5" ht="12.75">
      <c r="A15" s="5" t="s">
        <v>81</v>
      </c>
      <c r="B15" s="10">
        <v>15</v>
      </c>
      <c r="D15" s="5" t="s">
        <v>20</v>
      </c>
      <c r="E15" s="3">
        <f>(B10-(B9+2*B14))/2</f>
        <v>1.3100000000000005</v>
      </c>
    </row>
    <row r="16" spans="1:5" ht="12.75">
      <c r="A16" s="5" t="s">
        <v>11</v>
      </c>
      <c r="B16" s="10">
        <v>0.875</v>
      </c>
      <c r="C16" s="13" t="s">
        <v>136</v>
      </c>
      <c r="D16" s="13"/>
      <c r="E16" s="13"/>
    </row>
    <row r="17" spans="1:5" ht="12.75">
      <c r="A17" s="5" t="s">
        <v>13</v>
      </c>
      <c r="B17" s="12">
        <f>LOOKUP(B16,I27:J44)</f>
        <v>0.731</v>
      </c>
      <c r="C17" s="13" t="s">
        <v>137</v>
      </c>
      <c r="D17" s="13"/>
      <c r="E17" s="13"/>
    </row>
    <row r="18" spans="1:9" ht="12.75">
      <c r="A18" s="5" t="s">
        <v>12</v>
      </c>
      <c r="B18" s="1">
        <v>12</v>
      </c>
      <c r="C18" s="13" t="s">
        <v>138</v>
      </c>
      <c r="D18" s="13"/>
      <c r="E18" s="13"/>
      <c r="I18" t="s">
        <v>229</v>
      </c>
    </row>
    <row r="19" ht="12.75">
      <c r="I19" t="s">
        <v>228</v>
      </c>
    </row>
    <row r="20" ht="12.75">
      <c r="A20" t="s">
        <v>22</v>
      </c>
    </row>
    <row r="22" spans="1:11" ht="12.75">
      <c r="A22" s="5" t="s">
        <v>23</v>
      </c>
      <c r="B22" s="9">
        <v>14.75</v>
      </c>
      <c r="C22" s="5" t="s">
        <v>24</v>
      </c>
      <c r="D22" s="9">
        <v>13.375</v>
      </c>
      <c r="E22" s="5" t="s">
        <v>25</v>
      </c>
      <c r="F22" s="1">
        <v>3</v>
      </c>
      <c r="G22" s="5" t="s">
        <v>26</v>
      </c>
      <c r="H22" s="1">
        <v>10000</v>
      </c>
      <c r="K22" s="4"/>
    </row>
    <row r="23" ht="12.75">
      <c r="K23" s="4" t="s">
        <v>28</v>
      </c>
    </row>
    <row r="24" spans="1:10" ht="12.75">
      <c r="A24" t="s">
        <v>27</v>
      </c>
      <c r="J24" t="s">
        <v>28</v>
      </c>
    </row>
    <row r="25" spans="9:10" ht="12.75">
      <c r="I25" s="13" t="s">
        <v>231</v>
      </c>
      <c r="J25" s="13"/>
    </row>
    <row r="26" spans="1:10" ht="12.75">
      <c r="A26" s="5" t="s">
        <v>14</v>
      </c>
      <c r="B26" s="1">
        <v>150</v>
      </c>
      <c r="C26" t="s">
        <v>128</v>
      </c>
      <c r="I26" s="27" t="s">
        <v>230</v>
      </c>
      <c r="J26" s="27" t="s">
        <v>232</v>
      </c>
    </row>
    <row r="27" spans="1:10" ht="12.75">
      <c r="A27" s="5" t="s">
        <v>15</v>
      </c>
      <c r="B27" s="1">
        <v>104</v>
      </c>
      <c r="C27" t="s">
        <v>129</v>
      </c>
      <c r="E27" s="1"/>
      <c r="I27" s="28">
        <v>0.5</v>
      </c>
      <c r="J27" s="28">
        <v>0.4</v>
      </c>
    </row>
    <row r="28" spans="1:10" ht="12.75">
      <c r="A28" s="5" t="s">
        <v>16</v>
      </c>
      <c r="B28" s="1" t="s">
        <v>235</v>
      </c>
      <c r="C28" s="1"/>
      <c r="D28" s="5" t="s">
        <v>29</v>
      </c>
      <c r="E28" s="1">
        <v>23300</v>
      </c>
      <c r="F28" s="5" t="s">
        <v>32</v>
      </c>
      <c r="G28" s="1">
        <v>22600</v>
      </c>
      <c r="I28" s="28">
        <v>0.5625</v>
      </c>
      <c r="J28" s="28">
        <v>0.454</v>
      </c>
    </row>
    <row r="29" spans="1:10" ht="12.75">
      <c r="A29" s="5" t="s">
        <v>17</v>
      </c>
      <c r="B29" s="1" t="s">
        <v>236</v>
      </c>
      <c r="C29" s="1"/>
      <c r="D29" s="5" t="s">
        <v>31</v>
      </c>
      <c r="E29" s="1">
        <v>25000</v>
      </c>
      <c r="F29" s="5" t="s">
        <v>30</v>
      </c>
      <c r="G29" s="1">
        <v>25000</v>
      </c>
      <c r="I29" s="28">
        <v>0.625</v>
      </c>
      <c r="J29" s="28">
        <v>0.507</v>
      </c>
    </row>
    <row r="30" spans="1:10" ht="12.75">
      <c r="A30" s="5" t="s">
        <v>18</v>
      </c>
      <c r="B30" s="1">
        <v>50000</v>
      </c>
      <c r="D30" s="13" t="s">
        <v>140</v>
      </c>
      <c r="E30" s="13"/>
      <c r="F30" s="13"/>
      <c r="G30" s="13"/>
      <c r="H30" s="4"/>
      <c r="I30" s="28">
        <v>0.75</v>
      </c>
      <c r="J30" s="28">
        <v>0.62</v>
      </c>
    </row>
    <row r="31" spans="1:10" ht="12.75">
      <c r="A31" s="5" t="s">
        <v>19</v>
      </c>
      <c r="B31" s="11">
        <f>16*B30/(3.14*B38^3)</f>
        <v>89.66652968765172</v>
      </c>
      <c r="I31" s="28">
        <v>0.875</v>
      </c>
      <c r="J31" s="28">
        <v>0.731</v>
      </c>
    </row>
    <row r="32" spans="1:10" ht="12.75">
      <c r="A32" s="5" t="s">
        <v>21</v>
      </c>
      <c r="B32" s="11">
        <f>B27+B31</f>
        <v>193.66652968765172</v>
      </c>
      <c r="I32" s="28">
        <v>1</v>
      </c>
      <c r="J32" s="28">
        <v>0.838</v>
      </c>
    </row>
    <row r="33" spans="9:10" ht="12.75">
      <c r="I33" s="28">
        <v>1.125</v>
      </c>
      <c r="J33" s="28">
        <v>0.963</v>
      </c>
    </row>
    <row r="34" spans="1:10" ht="12.75">
      <c r="A34" s="6" t="s">
        <v>33</v>
      </c>
      <c r="I34" s="28">
        <v>1.25</v>
      </c>
      <c r="J34" s="28">
        <v>1.088</v>
      </c>
    </row>
    <row r="35" spans="9:10" ht="12.75">
      <c r="I35" s="28">
        <v>1.375</v>
      </c>
      <c r="J35" s="28">
        <v>1.213</v>
      </c>
    </row>
    <row r="36" spans="1:10" ht="12.75">
      <c r="A36" t="s">
        <v>34</v>
      </c>
      <c r="E36" s="3">
        <f>0.5*D37^0.5</f>
        <v>0.29315098498896436</v>
      </c>
      <c r="I36" s="28">
        <v>1.5</v>
      </c>
      <c r="J36" s="28">
        <v>1.338</v>
      </c>
    </row>
    <row r="37" spans="1:10" ht="12.75">
      <c r="A37" s="5" t="s">
        <v>35</v>
      </c>
      <c r="B37" s="8">
        <f>(B22-D22)/2</f>
        <v>0.6875</v>
      </c>
      <c r="C37" s="5" t="s">
        <v>82</v>
      </c>
      <c r="D37" s="7">
        <f>B37/2</f>
        <v>0.34375</v>
      </c>
      <c r="E37" s="3">
        <v>0.25</v>
      </c>
      <c r="F37" s="5" t="s">
        <v>146</v>
      </c>
      <c r="G37" s="7">
        <f>IF(D37&gt;E37,E36,D37)</f>
        <v>0.29315098498896436</v>
      </c>
      <c r="I37" s="28">
        <v>1.625</v>
      </c>
      <c r="J37" s="28">
        <v>1.463</v>
      </c>
    </row>
    <row r="38" spans="1:10" ht="12.75">
      <c r="A38" s="5" t="s">
        <v>36</v>
      </c>
      <c r="B38" s="7">
        <f>B22-2*G37</f>
        <v>14.163698030022072</v>
      </c>
      <c r="I38" s="28">
        <v>1.75</v>
      </c>
      <c r="J38" s="28">
        <v>1.588</v>
      </c>
    </row>
    <row r="39" spans="9:10" ht="12.75">
      <c r="I39" s="28">
        <v>1.875</v>
      </c>
      <c r="J39" s="28">
        <v>1.713</v>
      </c>
    </row>
    <row r="40" spans="1:10" ht="12.75">
      <c r="A40" t="s">
        <v>142</v>
      </c>
      <c r="I40" s="28">
        <v>2</v>
      </c>
      <c r="J40" s="28">
        <v>1.838</v>
      </c>
    </row>
    <row r="41" spans="2:10" ht="12.75">
      <c r="B41" t="s">
        <v>37</v>
      </c>
      <c r="C41" t="s">
        <v>38</v>
      </c>
      <c r="D41" s="11">
        <f>0.785*B38^2*B32+2*G37*3.14*B38*F22*B32</f>
        <v>45648.115269370915</v>
      </c>
      <c r="I41" s="28">
        <v>2.25</v>
      </c>
      <c r="J41" s="28">
        <v>2.088</v>
      </c>
    </row>
    <row r="42" spans="2:10" ht="12.75">
      <c r="B42" t="s">
        <v>39</v>
      </c>
      <c r="C42" t="s">
        <v>40</v>
      </c>
      <c r="D42" s="11">
        <f>3.14*G37*B38*H22</f>
        <v>130376.00369763885</v>
      </c>
      <c r="I42" s="28">
        <v>2.5</v>
      </c>
      <c r="J42" s="28">
        <v>2.338</v>
      </c>
    </row>
    <row r="43" spans="9:10" ht="12.75">
      <c r="I43" s="28">
        <v>2.75</v>
      </c>
      <c r="J43" s="28">
        <v>2.588</v>
      </c>
    </row>
    <row r="44" spans="1:10" ht="14.25">
      <c r="A44" t="s">
        <v>143</v>
      </c>
      <c r="I44" s="28">
        <v>3</v>
      </c>
      <c r="J44" s="28">
        <v>2.838</v>
      </c>
    </row>
    <row r="45" spans="2:5" ht="12.75">
      <c r="B45" s="5" t="s">
        <v>41</v>
      </c>
      <c r="C45" s="12">
        <f>D41/G29</f>
        <v>1.8259246107748366</v>
      </c>
      <c r="E45" t="s">
        <v>44</v>
      </c>
    </row>
    <row r="46" spans="2:6" ht="12.75">
      <c r="B46" s="5" t="s">
        <v>42</v>
      </c>
      <c r="C46" s="12">
        <f>D42/E29</f>
        <v>5.215040147905554</v>
      </c>
      <c r="E46" s="5" t="s">
        <v>43</v>
      </c>
      <c r="F46" s="12">
        <f>IF(C45&gt;C46,C45,C46)</f>
        <v>5.215040147905554</v>
      </c>
    </row>
    <row r="47" spans="2:8" ht="12.75">
      <c r="B47" s="5" t="s">
        <v>45</v>
      </c>
      <c r="C47" s="12">
        <f>B18*3.14*(B17/2)^2</f>
        <v>5.03368062</v>
      </c>
      <c r="E47" s="13" t="s">
        <v>46</v>
      </c>
      <c r="F47" s="13"/>
      <c r="G47" s="13"/>
      <c r="H47" s="13"/>
    </row>
    <row r="49" ht="12.75">
      <c r="A49" t="s">
        <v>222</v>
      </c>
    </row>
    <row r="50" spans="2:3" ht="12.75">
      <c r="B50" t="s">
        <v>223</v>
      </c>
      <c r="C50" s="11">
        <f>D41</f>
        <v>45648.115269370915</v>
      </c>
    </row>
    <row r="51" spans="2:3" ht="12.75">
      <c r="B51" t="s">
        <v>224</v>
      </c>
      <c r="C51" s="3">
        <f>0.5*(F46+C47)*E29</f>
        <v>128109.00959881941</v>
      </c>
    </row>
    <row r="53" ht="12.75">
      <c r="A53" t="s">
        <v>144</v>
      </c>
    </row>
    <row r="54" spans="2:3" ht="12.75">
      <c r="B54" t="s">
        <v>47</v>
      </c>
      <c r="C54" t="s">
        <v>48</v>
      </c>
    </row>
    <row r="55" spans="3:4" ht="12.75">
      <c r="C55" s="5" t="s">
        <v>49</v>
      </c>
      <c r="D55" s="11">
        <f>((B10-B9)/2-B14+B14/2)*(0.785*B9^2*B32)</f>
        <v>42034.30790718126</v>
      </c>
    </row>
    <row r="56" spans="3:4" ht="12.75">
      <c r="C56" s="5" t="s">
        <v>50</v>
      </c>
      <c r="D56" s="11">
        <f>((E15+B14+((B10-B38)/2))/2)*((0.785*B38^2*B32)-(0.785*B9^2*B32))</f>
        <v>14574.61125981636</v>
      </c>
    </row>
    <row r="57" spans="3:4" ht="12.75">
      <c r="C57" s="5" t="s">
        <v>51</v>
      </c>
      <c r="D57" s="11">
        <f>((B10-B38)/2)*(C50-0.785*B38^2*B32)</f>
        <v>21484.534911024435</v>
      </c>
    </row>
    <row r="58" spans="3:4" ht="12.75">
      <c r="C58" s="5" t="s">
        <v>52</v>
      </c>
      <c r="D58" s="11">
        <f>D55+D56+D57</f>
        <v>78093.45407802206</v>
      </c>
    </row>
    <row r="59" spans="2:4" ht="12.75">
      <c r="B59" t="s">
        <v>39</v>
      </c>
      <c r="C59" s="5" t="s">
        <v>53</v>
      </c>
      <c r="D59" s="11">
        <f>C51*(B10-B38)/2</f>
        <v>181677.91814852637</v>
      </c>
    </row>
    <row r="61" spans="1:6" ht="12.75">
      <c r="A61" t="s">
        <v>127</v>
      </c>
      <c r="F61" t="s">
        <v>83</v>
      </c>
    </row>
    <row r="62" spans="2:10" ht="12.75">
      <c r="B62" s="5" t="s">
        <v>56</v>
      </c>
      <c r="C62" s="3">
        <f>B8/B9</f>
        <v>1.5510204081632653</v>
      </c>
      <c r="E62" s="5" t="s">
        <v>4</v>
      </c>
      <c r="F62" s="3">
        <f>(B14/B13)-1</f>
        <v>3.26</v>
      </c>
      <c r="G62" s="5" t="s">
        <v>103</v>
      </c>
      <c r="H62" s="3">
        <f>(F64*F72*F75+F67*F71*F66+F66*F76*F65-(F66^2*F72+F76*F71*F64+F75*F67*F65))/F79</f>
        <v>0.167679166398794</v>
      </c>
      <c r="I62" s="5" t="s">
        <v>124</v>
      </c>
      <c r="J62" s="3">
        <f>1/4+H79/12+H78/4-H82/5-3*H81/2-H80</f>
        <v>0.6466561441355281</v>
      </c>
    </row>
    <row r="63" spans="2:10" ht="12.75">
      <c r="B63" s="5" t="s">
        <v>14</v>
      </c>
      <c r="C63" s="3">
        <f>(C62^2*(1+8.55246*LOG10(C62))-1)/((1.0472+1.9448*C62^2)*(C62-1))</f>
        <v>1.68858946292942</v>
      </c>
      <c r="E63" s="5" t="s">
        <v>6</v>
      </c>
      <c r="F63" s="3">
        <f>43.68*(C69)^4</f>
        <v>377.2380174927113</v>
      </c>
      <c r="G63" s="5" t="s">
        <v>104</v>
      </c>
      <c r="H63" s="3">
        <f>(F64*F73*F75+F68*F71*F66+F66*F77*F65-(F66^2*F73+F77*F71*F64+F75*F68*F65))/F79</f>
        <v>-0.17463892440378098</v>
      </c>
      <c r="I63" s="5" t="s">
        <v>125</v>
      </c>
      <c r="J63" s="3">
        <f>H80*(1/2+F62/6)+H81*(1/4+11*F62/84)+H82*(1/70+F62/105)</f>
        <v>-0.007024953445331586</v>
      </c>
    </row>
    <row r="64" spans="2:10" ht="12.75">
      <c r="B64" s="5" t="s">
        <v>57</v>
      </c>
      <c r="C64" s="3">
        <f>(C62^2*(1+8.55246*LOG10(C62))-1)/(1.36136*(C62^2-1)*(C62-1))</f>
        <v>5.052435610774086</v>
      </c>
      <c r="E64" s="5" t="s">
        <v>84</v>
      </c>
      <c r="F64" s="3">
        <f>(1/3)+F62/12</f>
        <v>0.605</v>
      </c>
      <c r="G64" s="5" t="s">
        <v>105</v>
      </c>
      <c r="H64" s="3">
        <f>(F64*F74*F75+F69*F71*F66+F66*F78*F65-(F66^2*F74+F78*F71*F64+F75*F69*F65))/F79</f>
        <v>0.0646380326287812</v>
      </c>
      <c r="I64" s="5" t="s">
        <v>126</v>
      </c>
      <c r="J64" s="3">
        <f>J63-H78*(7/120+F62/36+3*F62/F63)-1/40-F62/72-H79*(1/60+F62/120+1/F63)</f>
        <v>-0.38741888616581377</v>
      </c>
    </row>
    <row r="65" spans="2:10" ht="12.75">
      <c r="B65" s="5" t="s">
        <v>55</v>
      </c>
      <c r="C65" s="3">
        <f>(1/(C62-1))*(0.66845+5.7169*(C62^2*LOG10(C62))/(C62^2-1))</f>
        <v>4.59772672625665</v>
      </c>
      <c r="E65" s="5" t="s">
        <v>85</v>
      </c>
      <c r="F65" s="3">
        <f>5/42+17*F62/336</f>
        <v>0.2839880952380952</v>
      </c>
      <c r="G65" s="5" t="s">
        <v>106</v>
      </c>
      <c r="H65" s="3">
        <f>(F64*F70*F76+F65*F72*F66+F67*F71*F65-(F66*F70*F67+F71*F72*F64+F65^2*F76))/F79</f>
        <v>-0.34272406137552053</v>
      </c>
      <c r="I65" s="14"/>
      <c r="J65" s="15"/>
    </row>
    <row r="66" spans="2:10" ht="12.75">
      <c r="B66" s="5" t="s">
        <v>54</v>
      </c>
      <c r="C66" s="3">
        <f>(C62^2+1)/(C62^2-1)</f>
        <v>2.422814814814815</v>
      </c>
      <c r="E66" s="5" t="s">
        <v>86</v>
      </c>
      <c r="F66" s="3">
        <f>1/210+F62/360</f>
        <v>0.013817460317460317</v>
      </c>
      <c r="G66" s="5" t="s">
        <v>107</v>
      </c>
      <c r="H66" s="3">
        <f>(F64*F70*F77+F65*F73*F66+F68*F71*F65-(F66*F70*F68+F71*F73*F64+F65^2*F77))/F79</f>
        <v>0.31447025974041026</v>
      </c>
      <c r="I66" s="14"/>
      <c r="J66" s="15"/>
    </row>
    <row r="67" spans="1:10" ht="12.75">
      <c r="A67" t="s">
        <v>58</v>
      </c>
      <c r="E67" s="5" t="s">
        <v>87</v>
      </c>
      <c r="F67" s="3">
        <f>11/360+59*F62/5040+(1+3*F62)/F63</f>
        <v>0.09729437699967212</v>
      </c>
      <c r="G67" s="5" t="s">
        <v>108</v>
      </c>
      <c r="H67" s="3">
        <f>(F64*F70*F78+F65*F74*F66+F69*F71*F65-(F66*F70*F69+F71*F74*F64+F65^2*F78))/F79</f>
        <v>-0.0991853542330654</v>
      </c>
      <c r="I67" s="14"/>
      <c r="J67" s="15"/>
    </row>
    <row r="68" spans="2:10" ht="12.75">
      <c r="B68" s="5" t="s">
        <v>59</v>
      </c>
      <c r="C68" s="12">
        <f>B14/B13</f>
        <v>4.26</v>
      </c>
      <c r="E68" s="5" t="s">
        <v>88</v>
      </c>
      <c r="F68" s="3">
        <f>1/90+5*F62/1008-(1+F62)^3/F63</f>
        <v>-0.17765193619314712</v>
      </c>
      <c r="G68" s="5" t="s">
        <v>109</v>
      </c>
      <c r="H68" s="3">
        <f>-((F63/4)^0.25)</f>
        <v>-3.1162971724550617</v>
      </c>
      <c r="I68" s="14"/>
      <c r="J68" s="15"/>
    </row>
    <row r="69" spans="2:10" ht="12.75">
      <c r="B69" s="5" t="s">
        <v>60</v>
      </c>
      <c r="C69" s="3">
        <f>B12/(B9*B13)^0.5</f>
        <v>1.7142857142857142</v>
      </c>
      <c r="E69" s="5" t="s">
        <v>89</v>
      </c>
      <c r="F69" s="3">
        <f>1/120+17*F62/5040+1/F63</f>
        <v>0.021980211371704427</v>
      </c>
      <c r="G69" s="5" t="s">
        <v>110</v>
      </c>
      <c r="H69" s="3">
        <f>H62-F80-5/12+F80*H68</f>
        <v>-0.6191893470352543</v>
      </c>
      <c r="I69" s="14"/>
      <c r="J69" s="15"/>
    </row>
    <row r="70" spans="2:10" ht="12.75">
      <c r="B70" s="5" t="s">
        <v>61</v>
      </c>
      <c r="C70" s="7">
        <f>IF(D70&lt;1,1,D70)</f>
        <v>1</v>
      </c>
      <c r="D70" s="7">
        <f>H78/(1+F62)</f>
        <v>0.11764257886799065</v>
      </c>
      <c r="E70" s="5" t="s">
        <v>90</v>
      </c>
      <c r="F70" s="3">
        <f>215/2772+51*F62/1232+(60/7+225*F62/14+75*F62^2/7+5*F62^3/2)/F63</f>
        <v>0.9055667630357844</v>
      </c>
      <c r="G70" s="5" t="s">
        <v>111</v>
      </c>
      <c r="H70" s="3">
        <f>H64-F82-1/12+F82*H68</f>
        <v>-0.052675295093144114</v>
      </c>
      <c r="I70" s="14"/>
      <c r="J70" s="15"/>
    </row>
    <row r="71" spans="2:10" ht="12.75">
      <c r="B71" s="5"/>
      <c r="E71" s="5" t="s">
        <v>91</v>
      </c>
      <c r="F71" s="3">
        <f>31/6930+128*F62/45045+(6/7+15*F62/7+12*F62^2/7+5*F62^3/11)/F63</f>
        <v>0.12456820593485089</v>
      </c>
      <c r="G71" s="5" t="s">
        <v>112</v>
      </c>
      <c r="H71" s="3">
        <f>-((F63/4)^0.5)</f>
        <v>-9.711308067051412</v>
      </c>
      <c r="I71" s="14"/>
      <c r="J71" s="15"/>
    </row>
    <row r="72" spans="1:10" ht="12.75">
      <c r="A72" s="6" t="s">
        <v>63</v>
      </c>
      <c r="E72" s="5" t="s">
        <v>92</v>
      </c>
      <c r="F72" s="3">
        <f>533/30240+653*F62/73920+(1/2+33*F62/14+39*F62^2/28+25*F62^3/84)/F63</f>
        <v>0.13469281138856698</v>
      </c>
      <c r="G72" s="5" t="s">
        <v>113</v>
      </c>
      <c r="H72" s="3">
        <f>-((F63/4)^0.75)</f>
        <v>-30.263321870192353</v>
      </c>
      <c r="I72" s="5"/>
      <c r="J72" s="16"/>
    </row>
    <row r="73" spans="2:8" ht="12.75">
      <c r="B73" s="5" t="s">
        <v>59</v>
      </c>
      <c r="C73" s="12">
        <f>B14/B13</f>
        <v>4.26</v>
      </c>
      <c r="E73" s="5" t="s">
        <v>93</v>
      </c>
      <c r="F73" s="3">
        <f>29/3780+3*F62/704-(1/2+33*F62/14+81*F62^2/28+13*F62^3/12)/F63</f>
        <v>-0.1811238263255172</v>
      </c>
      <c r="G73" s="5" t="s">
        <v>114</v>
      </c>
      <c r="H73" s="3">
        <f>3*F62/2-F80*H72</f>
        <v>7.61175141304942</v>
      </c>
    </row>
    <row r="74" spans="2:8" ht="12.75">
      <c r="B74" s="5" t="s">
        <v>60</v>
      </c>
      <c r="C74" s="3">
        <f>B12/(B9*B13)^0.5</f>
        <v>1.7142857142857142</v>
      </c>
      <c r="E74" s="5" t="s">
        <v>94</v>
      </c>
      <c r="F74" s="3">
        <f>31/6048+1763*F62/665280+(1/2+6*F62/7+15*F62^2/28+5*F62^3/42)/F63</f>
        <v>0.04852303139622295</v>
      </c>
      <c r="G74" s="5" t="s">
        <v>115</v>
      </c>
      <c r="H74" s="3">
        <f>1/2-F82*H72</f>
        <v>0.7498234369983442</v>
      </c>
    </row>
    <row r="75" spans="2:8" ht="12.75">
      <c r="B75" s="5" t="s">
        <v>64</v>
      </c>
      <c r="C75" s="3">
        <f>-J64/((F63/2.73)^0.25*(1+F62)^3/F63)</f>
        <v>0.5513841058479259</v>
      </c>
      <c r="E75" s="5" t="s">
        <v>95</v>
      </c>
      <c r="F75" s="3">
        <f>1/2925+71*F62/300300+(8/35+18*F62/35+156*F62^2/385+6*F62^3/55)/F63</f>
        <v>0.02759712147452599</v>
      </c>
      <c r="G75" s="5" t="s">
        <v>116</v>
      </c>
      <c r="H75" s="3">
        <f>0.5*H68*H74+H70*H73*H71-(0.5*H72*H70+H74*H69*H71)</f>
        <v>-2.580432084510264</v>
      </c>
    </row>
    <row r="76" spans="1:8" ht="12.75">
      <c r="A76" t="s">
        <v>65</v>
      </c>
      <c r="E76" s="5" t="s">
        <v>96</v>
      </c>
      <c r="F76" s="3">
        <f>761/831600+937*F62/1663200+(1/35+6*F62/35+11*F62^2/70+3*F62^3/70)/F63</f>
        <v>0.01267197760147196</v>
      </c>
      <c r="G76" s="5" t="s">
        <v>117</v>
      </c>
      <c r="H76" s="3">
        <f>1/12+F81-H63-F81*H68</f>
        <v>-0.6428623079476278</v>
      </c>
    </row>
    <row r="77" spans="2:8" ht="12.75">
      <c r="B77" s="5" t="s">
        <v>66</v>
      </c>
      <c r="C77" s="7">
        <f>C75/(B9*B13)^0.5</f>
        <v>0.3150766319131005</v>
      </c>
      <c r="E77" s="5" t="s">
        <v>97</v>
      </c>
      <c r="F77" s="3">
        <f>197/415800+103*F62/332640-(1/35+6*F62/35+17*F62^2/70+F62^3/10)/F63</f>
        <v>-0.016099877429909985</v>
      </c>
      <c r="G77" s="5" t="s">
        <v>118</v>
      </c>
      <c r="H77" s="3">
        <f>-F81*(F63/4)^0.75</f>
        <v>6.6230024876586855</v>
      </c>
    </row>
    <row r="78" spans="1:8" ht="12.75">
      <c r="A78" t="s">
        <v>131</v>
      </c>
      <c r="E78" s="5" t="s">
        <v>98</v>
      </c>
      <c r="F78" s="3">
        <f>233/831600+97*F62/554400+(1/35+3*F62/35+F62^2/14+2*F62^3/105)/F63</f>
        <v>0.005428676495240443</v>
      </c>
      <c r="G78" s="5" t="s">
        <v>119</v>
      </c>
      <c r="H78" s="3">
        <f>(H70*H77*H71-H74*H76*H71)/H75</f>
        <v>0.5011573859776401</v>
      </c>
    </row>
    <row r="79" spans="2:8" ht="12.75">
      <c r="B79" s="5" t="s">
        <v>67</v>
      </c>
      <c r="C79" s="3">
        <f>J62/((2.73/F63)^0.25*(1+F62)^3)</f>
        <v>0.028678591158825737</v>
      </c>
      <c r="E79" s="5" t="s">
        <v>99</v>
      </c>
      <c r="F79" s="3">
        <f>F64*F70*F75+F65*F71*F66+F66*F71*F65-(F66^2*F70+F71^2*F64+F65^2*F75)</f>
        <v>0.0043106780224284914</v>
      </c>
      <c r="G79" s="5" t="s">
        <v>120</v>
      </c>
      <c r="H79" s="3">
        <f>(0.5*H68*H77+H76*H73*H71-(0.5*H72*H76+H77*H69*H71))/H75</f>
        <v>4.786719835792089</v>
      </c>
    </row>
    <row r="80" spans="1:8" ht="12.75">
      <c r="A80" t="s">
        <v>68</v>
      </c>
      <c r="C80" s="7">
        <f>C64*(B9*B13)^0.5*B13^2/C79</f>
        <v>19.26908270591081</v>
      </c>
      <c r="E80" s="5" t="s">
        <v>100</v>
      </c>
      <c r="F80" s="3">
        <f>(F67*F70*F75+F65*F71*F76+F66*F71*F72-(F76*F70*F66+F71^2*F67+F75*F65*F72))/F79</f>
        <v>0.08993564634853222</v>
      </c>
      <c r="G80" s="5" t="s">
        <v>121</v>
      </c>
      <c r="H80" s="3">
        <f>F80*H78+F81+F82*H79</f>
        <v>-0.1342596123557118</v>
      </c>
    </row>
    <row r="81" spans="2:8" ht="12.75">
      <c r="B81" s="5" t="s">
        <v>62</v>
      </c>
      <c r="C81" s="7">
        <f>((B11*C77+1)/C63)+B11^3/C80</f>
        <v>0.9017083100835861</v>
      </c>
      <c r="E81" s="5" t="s">
        <v>101</v>
      </c>
      <c r="F81" s="3">
        <f>(F68*F70*F75+F65*F71*F77+F66*F71*F73-(F77*F70*F66+F71^2*F68+F75*F65*F73))/F79</f>
        <v>-0.2188458529459043</v>
      </c>
      <c r="G81" s="5" t="s">
        <v>122</v>
      </c>
      <c r="H81" s="3">
        <f>H62*H78+H63+H64*H79</f>
        <v>0.21879888124231162</v>
      </c>
    </row>
    <row r="82" spans="5:8" ht="12.75">
      <c r="E82" s="5" t="s">
        <v>102</v>
      </c>
      <c r="F82" s="3">
        <f>(F69*F70*F75+F65*F71*F78+F66*F71*F74-(F78*F70*F66+F71^2*F69+F75*F65*F74))/F79</f>
        <v>0.008254990581334894</v>
      </c>
      <c r="G82" s="5" t="s">
        <v>123</v>
      </c>
      <c r="H82" s="3">
        <f>H65*H78+H66+H67*H79</f>
        <v>-0.3320609374976649</v>
      </c>
    </row>
    <row r="83" ht="12.75">
      <c r="A83" t="s">
        <v>145</v>
      </c>
    </row>
    <row r="84" spans="2:9" ht="12.75">
      <c r="B84" t="s">
        <v>37</v>
      </c>
      <c r="D84" t="s">
        <v>72</v>
      </c>
      <c r="G84" t="s">
        <v>37</v>
      </c>
      <c r="H84" t="s">
        <v>72</v>
      </c>
      <c r="I84" t="s">
        <v>73</v>
      </c>
    </row>
    <row r="85" spans="1:9" ht="12.75">
      <c r="A85" s="5" t="s">
        <v>69</v>
      </c>
      <c r="B85" s="11">
        <f>C70*D58/(C81*B14^2*B9)</f>
        <v>6233.231485897146</v>
      </c>
      <c r="D85" s="11">
        <f>C70*D59/(C81*B14^2*B9)</f>
        <v>14501.094016973995</v>
      </c>
      <c r="F85" s="5" t="s">
        <v>79</v>
      </c>
      <c r="G85" s="17">
        <f>(B85+B86)/2</f>
        <v>6857.679278547982</v>
      </c>
      <c r="H85" s="17">
        <f>(D85+D86)/2</f>
        <v>15953.819809431605</v>
      </c>
      <c r="I85" s="18">
        <f>G28</f>
        <v>22600</v>
      </c>
    </row>
    <row r="86" spans="1:9" ht="12.75">
      <c r="A86" s="5" t="s">
        <v>70</v>
      </c>
      <c r="B86" s="11">
        <f>((1.33*B11*C77+1)*D58)/(C81*B11^2*B9)</f>
        <v>7482.127071198818</v>
      </c>
      <c r="D86" s="11">
        <f>((1.33*B11*C77+1)*D59)/(C81*B11^2*B9)</f>
        <v>17406.545601889215</v>
      </c>
      <c r="F86" s="5" t="s">
        <v>80</v>
      </c>
      <c r="G86" s="17">
        <f>(B85+B87)/2</f>
        <v>4401.697113974032</v>
      </c>
      <c r="H86" s="17">
        <f>(D85+D87)/2</f>
        <v>10240.181810734337</v>
      </c>
      <c r="I86" s="18">
        <f>G28</f>
        <v>22600</v>
      </c>
    </row>
    <row r="87" spans="1:4" ht="12.75">
      <c r="A87" s="5" t="s">
        <v>71</v>
      </c>
      <c r="B87" s="11">
        <f>C65*D58/(B11^2*B9)-(C66*B86)</f>
        <v>2570.1627420509176</v>
      </c>
      <c r="D87" s="11">
        <f>C65*D59/(B11^2*B9)-(C66*D86)</f>
        <v>5979.269604494679</v>
      </c>
    </row>
    <row r="91" ht="12.75">
      <c r="A91" t="s">
        <v>212</v>
      </c>
    </row>
    <row r="92" spans="2:4" ht="12.75">
      <c r="B92" t="s">
        <v>37</v>
      </c>
      <c r="D92" t="s">
        <v>72</v>
      </c>
    </row>
    <row r="93" spans="1:4" ht="12.75">
      <c r="A93" s="5" t="s">
        <v>69</v>
      </c>
      <c r="B93" s="3">
        <f>1.5*G28</f>
        <v>33900</v>
      </c>
      <c r="D93" s="3">
        <f>1.5*E28</f>
        <v>34950</v>
      </c>
    </row>
    <row r="94" spans="1:4" ht="12.75">
      <c r="A94" s="5" t="s">
        <v>70</v>
      </c>
      <c r="B94" s="3">
        <f>G28</f>
        <v>22600</v>
      </c>
      <c r="D94" s="3">
        <f>E28</f>
        <v>23300</v>
      </c>
    </row>
    <row r="95" spans="1:4" ht="12.75">
      <c r="A95" s="5" t="s">
        <v>71</v>
      </c>
      <c r="B95" s="3">
        <f>G28</f>
        <v>22600</v>
      </c>
      <c r="D95" s="3">
        <f>E28</f>
        <v>23300</v>
      </c>
    </row>
    <row r="96" ht="12.75">
      <c r="A96" t="s">
        <v>75</v>
      </c>
    </row>
    <row r="97" spans="2:6" ht="12.75">
      <c r="B97" s="5" t="s">
        <v>76</v>
      </c>
      <c r="C97" s="1">
        <v>29700000</v>
      </c>
      <c r="D97" s="5" t="s">
        <v>148</v>
      </c>
      <c r="E97" s="1">
        <v>26000000</v>
      </c>
      <c r="F97" t="s">
        <v>150</v>
      </c>
    </row>
    <row r="98" spans="2:6" ht="12.75">
      <c r="B98" s="5" t="s">
        <v>77</v>
      </c>
      <c r="C98" s="7">
        <f>(173.8*D58*C79)/(C81*C97*B13^2*(B9*B13)^0.5)</f>
        <v>0.13288673452927655</v>
      </c>
      <c r="D98" s="5" t="s">
        <v>148</v>
      </c>
      <c r="E98" s="7">
        <f>(173.8*D59*C79)/(C81*E97*B13^2*(B9*B13)^0.5)</f>
        <v>0.35314433458986794</v>
      </c>
      <c r="F98" t="s">
        <v>149</v>
      </c>
    </row>
    <row r="100" spans="1:6" ht="12.75">
      <c r="A100" t="s">
        <v>78</v>
      </c>
      <c r="E100" s="3">
        <f>45000/B16^0.5</f>
        <v>48107.02354423639</v>
      </c>
      <c r="F100" t="s">
        <v>132</v>
      </c>
    </row>
    <row r="102" ht="12.75">
      <c r="A102" t="s">
        <v>234</v>
      </c>
    </row>
    <row r="103" spans="2:3" ht="15.75">
      <c r="B103" s="3" t="s">
        <v>147</v>
      </c>
      <c r="C103" s="3">
        <f>B10/4*(G29*C47-B32*(0.785*B22^2))</f>
        <v>394257.09214920254</v>
      </c>
    </row>
    <row r="104" spans="1:11" ht="15.75">
      <c r="A104" s="19"/>
      <c r="B104" s="19"/>
      <c r="C104" s="20" t="s">
        <v>155</v>
      </c>
      <c r="D104" s="20"/>
      <c r="E104" s="20"/>
      <c r="F104" s="20"/>
      <c r="G104" s="20"/>
      <c r="H104" s="19"/>
      <c r="I104" s="19"/>
      <c r="J104" s="19"/>
      <c r="K104" s="19"/>
    </row>
    <row r="105" spans="1:11" ht="15.75">
      <c r="A105" s="19"/>
      <c r="B105" s="19"/>
      <c r="C105" s="20" t="s">
        <v>156</v>
      </c>
      <c r="D105" s="20"/>
      <c r="E105" s="20"/>
      <c r="F105" s="20"/>
      <c r="G105" s="20"/>
      <c r="H105" s="19"/>
      <c r="I105" s="19"/>
      <c r="J105" s="19"/>
      <c r="K105" s="19"/>
    </row>
    <row r="107" spans="1:10" ht="12.75">
      <c r="A107" t="s">
        <v>151</v>
      </c>
      <c r="B107" s="1" t="s">
        <v>240</v>
      </c>
      <c r="C107" s="1"/>
      <c r="D107" s="1"/>
      <c r="E107" t="s">
        <v>154</v>
      </c>
      <c r="F107" s="1" t="s">
        <v>239</v>
      </c>
      <c r="G107" s="5" t="s">
        <v>152</v>
      </c>
      <c r="H107" s="1" t="s">
        <v>74</v>
      </c>
      <c r="I107" s="5" t="s">
        <v>153</v>
      </c>
      <c r="J107" s="29">
        <v>38882</v>
      </c>
    </row>
    <row r="108" spans="1:10" ht="12.75">
      <c r="A108" t="s">
        <v>157</v>
      </c>
      <c r="C108" s="1" t="s">
        <v>237</v>
      </c>
      <c r="D108" s="1"/>
      <c r="E108" s="1"/>
      <c r="F108" s="1"/>
      <c r="G108" s="1"/>
      <c r="H108" s="1"/>
      <c r="I108" s="1"/>
      <c r="J108" s="1"/>
    </row>
    <row r="109" spans="1:10" ht="12.75">
      <c r="A109" t="s">
        <v>158</v>
      </c>
      <c r="C109" s="1" t="s">
        <v>238</v>
      </c>
      <c r="D109" s="1"/>
      <c r="E109" s="1"/>
      <c r="F109" s="1"/>
      <c r="G109" s="1"/>
      <c r="H109" s="1"/>
      <c r="I109" s="1"/>
      <c r="J109" s="1"/>
    </row>
    <row r="110" ht="12.75">
      <c r="C110" s="1"/>
    </row>
    <row r="111" spans="1:10" ht="12.75">
      <c r="A111" s="3" t="s">
        <v>159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4.25">
      <c r="A112" s="21" t="s">
        <v>162</v>
      </c>
      <c r="B112" s="23">
        <f>B27</f>
        <v>104</v>
      </c>
      <c r="C112" s="3" t="s">
        <v>129</v>
      </c>
      <c r="D112" s="3"/>
      <c r="E112" s="21" t="s">
        <v>161</v>
      </c>
      <c r="F112" s="23">
        <f>B26</f>
        <v>150</v>
      </c>
      <c r="G112" s="22" t="s">
        <v>160</v>
      </c>
      <c r="H112" s="3"/>
      <c r="I112" s="3"/>
      <c r="J112" s="3"/>
    </row>
    <row r="113" spans="1:10" ht="12.75">
      <c r="A113" s="18" t="s">
        <v>163</v>
      </c>
      <c r="B113" s="18"/>
      <c r="C113" s="23">
        <f>B30</f>
        <v>50000</v>
      </c>
      <c r="D113" s="3" t="s">
        <v>164</v>
      </c>
      <c r="E113" s="3"/>
      <c r="F113" s="3"/>
      <c r="G113" s="3" t="s">
        <v>165</v>
      </c>
      <c r="H113" s="3"/>
      <c r="I113" s="26">
        <f>B31</f>
        <v>89.66652968765172</v>
      </c>
      <c r="J113" s="3" t="s">
        <v>129</v>
      </c>
    </row>
    <row r="114" spans="1:10" ht="12.75">
      <c r="A114" s="3" t="s">
        <v>167</v>
      </c>
      <c r="B114" s="3"/>
      <c r="C114" s="3"/>
      <c r="D114" s="26">
        <f>B32</f>
        <v>193.66652968765172</v>
      </c>
      <c r="E114" s="3" t="s">
        <v>129</v>
      </c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 t="s">
        <v>166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3" t="s">
        <v>179</v>
      </c>
      <c r="B117" s="3"/>
      <c r="C117" s="3" t="str">
        <f>B28</f>
        <v>A105</v>
      </c>
      <c r="D117" s="3"/>
      <c r="E117" s="21" t="s">
        <v>168</v>
      </c>
      <c r="F117" s="23">
        <f>E28</f>
        <v>23300</v>
      </c>
      <c r="G117" s="3" t="s">
        <v>132</v>
      </c>
      <c r="H117" s="21" t="s">
        <v>169</v>
      </c>
      <c r="I117" s="23">
        <f>G28</f>
        <v>22600</v>
      </c>
      <c r="J117" s="3" t="s">
        <v>132</v>
      </c>
    </row>
    <row r="118" spans="1:10" ht="15.75">
      <c r="A118" s="3" t="s">
        <v>178</v>
      </c>
      <c r="B118" s="3"/>
      <c r="C118" s="3" t="str">
        <f>B29</f>
        <v>A193-B7</v>
      </c>
      <c r="D118" s="3"/>
      <c r="E118" s="21" t="s">
        <v>170</v>
      </c>
      <c r="F118" s="23">
        <f>E29</f>
        <v>25000</v>
      </c>
      <c r="G118" s="3" t="s">
        <v>132</v>
      </c>
      <c r="H118" s="21" t="s">
        <v>171</v>
      </c>
      <c r="I118" s="23">
        <f>G29</f>
        <v>25000</v>
      </c>
      <c r="J118" s="3" t="s">
        <v>132</v>
      </c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 t="s">
        <v>177</v>
      </c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21" t="s">
        <v>172</v>
      </c>
      <c r="C121" s="21" t="s">
        <v>173</v>
      </c>
      <c r="D121" s="25">
        <f>B8</f>
        <v>19</v>
      </c>
      <c r="E121" s="21" t="s">
        <v>174</v>
      </c>
      <c r="F121" s="25">
        <f>B9</f>
        <v>12.25</v>
      </c>
      <c r="G121" s="21" t="s">
        <v>175</v>
      </c>
      <c r="H121" s="25">
        <f>B10</f>
        <v>17</v>
      </c>
      <c r="I121" s="21" t="s">
        <v>176</v>
      </c>
      <c r="J121" s="25">
        <f>B11</f>
        <v>1.19</v>
      </c>
    </row>
    <row r="122" spans="1:10" ht="12.75">
      <c r="A122" s="3"/>
      <c r="B122" s="3"/>
      <c r="C122" s="21" t="s">
        <v>180</v>
      </c>
      <c r="D122" s="25">
        <f>B14</f>
        <v>1.065</v>
      </c>
      <c r="E122" s="21" t="s">
        <v>181</v>
      </c>
      <c r="F122" s="25">
        <f>B13</f>
        <v>0.25</v>
      </c>
      <c r="G122" s="21" t="s">
        <v>182</v>
      </c>
      <c r="H122" s="25">
        <f>B12</f>
        <v>3</v>
      </c>
      <c r="I122" s="3"/>
      <c r="J122" s="18"/>
    </row>
    <row r="123" spans="1:10" ht="12.75">
      <c r="A123" s="3"/>
      <c r="B123" s="3" t="s">
        <v>184</v>
      </c>
      <c r="C123" s="3" t="s">
        <v>185</v>
      </c>
      <c r="D123" s="3"/>
      <c r="E123" s="12">
        <f>B16</f>
        <v>0.875</v>
      </c>
      <c r="F123" s="3" t="s">
        <v>186</v>
      </c>
      <c r="G123" s="3"/>
      <c r="H123" s="25">
        <f>B17</f>
        <v>0.731</v>
      </c>
      <c r="I123" s="3" t="s">
        <v>187</v>
      </c>
      <c r="J123" s="18">
        <f>B18</f>
        <v>12</v>
      </c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 t="s">
        <v>188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 t="s">
        <v>192</v>
      </c>
      <c r="B126" s="3"/>
      <c r="C126" s="21" t="s">
        <v>189</v>
      </c>
      <c r="D126" s="24">
        <f>B22</f>
        <v>14.75</v>
      </c>
      <c r="E126" s="21" t="s">
        <v>190</v>
      </c>
      <c r="F126" s="24">
        <f>D22</f>
        <v>13.375</v>
      </c>
      <c r="G126" s="18" t="s">
        <v>191</v>
      </c>
      <c r="H126" s="18"/>
      <c r="I126" s="3"/>
      <c r="J126" s="3"/>
    </row>
    <row r="127" spans="1:10" ht="12.75">
      <c r="A127" s="3" t="s">
        <v>193</v>
      </c>
      <c r="B127" s="3"/>
      <c r="C127" s="21" t="s">
        <v>194</v>
      </c>
      <c r="D127" s="18">
        <f>F22</f>
        <v>3</v>
      </c>
      <c r="E127" s="21" t="s">
        <v>195</v>
      </c>
      <c r="F127" s="18">
        <f>H22</f>
        <v>10000</v>
      </c>
      <c r="G127" s="21" t="s">
        <v>196</v>
      </c>
      <c r="H127" s="24">
        <f>G37</f>
        <v>0.29315098498896436</v>
      </c>
      <c r="I127" s="21" t="s">
        <v>197</v>
      </c>
      <c r="J127" s="24">
        <f>B38</f>
        <v>14.163698030022072</v>
      </c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 t="s">
        <v>198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1" t="s">
        <v>199</v>
      </c>
      <c r="B130" s="25">
        <f>C62</f>
        <v>1.5510204081632653</v>
      </c>
      <c r="C130" s="21" t="s">
        <v>200</v>
      </c>
      <c r="D130" s="25">
        <f>C75</f>
        <v>0.5513841058479259</v>
      </c>
      <c r="E130" s="21" t="s">
        <v>201</v>
      </c>
      <c r="F130" s="25">
        <f>C79</f>
        <v>0.028678591158825737</v>
      </c>
      <c r="G130" s="21" t="s">
        <v>203</v>
      </c>
      <c r="H130" s="25">
        <f>C77</f>
        <v>0.3150766319131005</v>
      </c>
      <c r="I130" s="21" t="s">
        <v>202</v>
      </c>
      <c r="J130" s="25">
        <f>C81</f>
        <v>0.9017083100835861</v>
      </c>
    </row>
    <row r="131" spans="1:10" ht="12.75">
      <c r="A131" s="21" t="s">
        <v>204</v>
      </c>
      <c r="B131" s="24">
        <f>C70</f>
        <v>1</v>
      </c>
      <c r="C131" s="21" t="s">
        <v>205</v>
      </c>
      <c r="D131" s="25">
        <f>C63</f>
        <v>1.68858946292942</v>
      </c>
      <c r="E131" s="21" t="s">
        <v>206</v>
      </c>
      <c r="F131" s="25">
        <f>C64</f>
        <v>5.052435610774086</v>
      </c>
      <c r="G131" s="21" t="s">
        <v>220</v>
      </c>
      <c r="H131" s="25">
        <f>C65</f>
        <v>4.59772672625665</v>
      </c>
      <c r="I131" s="21" t="s">
        <v>221</v>
      </c>
      <c r="J131" s="25">
        <f>C64</f>
        <v>5.052435610774086</v>
      </c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 t="s">
        <v>207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21" t="s">
        <v>37</v>
      </c>
      <c r="C134" s="3"/>
      <c r="D134" s="18" t="s">
        <v>149</v>
      </c>
      <c r="E134" s="3"/>
      <c r="F134" s="3"/>
      <c r="G134" s="3"/>
      <c r="H134" s="3"/>
      <c r="I134" s="3"/>
      <c r="J134" s="3"/>
    </row>
    <row r="135" spans="1:10" ht="14.25">
      <c r="A135" s="21" t="s">
        <v>183</v>
      </c>
      <c r="B135" s="11">
        <f>C50</f>
        <v>45648.115269370915</v>
      </c>
      <c r="C135" s="3"/>
      <c r="D135" s="11">
        <f>C51</f>
        <v>128109.00959881941</v>
      </c>
      <c r="E135" s="3"/>
      <c r="F135" s="3" t="s">
        <v>208</v>
      </c>
      <c r="G135" s="3"/>
      <c r="H135" s="12">
        <f>C47</f>
        <v>5.03368062</v>
      </c>
      <c r="I135" s="3" t="s">
        <v>226</v>
      </c>
      <c r="J135" s="18"/>
    </row>
    <row r="136" spans="1:10" ht="14.25">
      <c r="A136" s="3" t="s">
        <v>214</v>
      </c>
      <c r="B136" s="11">
        <f>D58</f>
        <v>78093.45407802206</v>
      </c>
      <c r="C136" s="3"/>
      <c r="D136" s="11">
        <f>D59</f>
        <v>181677.91814852637</v>
      </c>
      <c r="E136" s="3"/>
      <c r="F136" s="3" t="s">
        <v>209</v>
      </c>
      <c r="G136" s="3"/>
      <c r="H136" s="12">
        <f>F46</f>
        <v>5.215040147905554</v>
      </c>
      <c r="I136" s="3" t="s">
        <v>226</v>
      </c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 t="s">
        <v>210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 t="s">
        <v>225</v>
      </c>
      <c r="C139" s="3" t="s">
        <v>73</v>
      </c>
      <c r="D139" s="3"/>
      <c r="E139" s="3" t="s">
        <v>72</v>
      </c>
      <c r="F139" s="3" t="s">
        <v>73</v>
      </c>
      <c r="G139" s="3"/>
      <c r="H139" s="3"/>
      <c r="I139" s="3"/>
      <c r="J139" s="3"/>
    </row>
    <row r="140" spans="1:10" ht="12.75">
      <c r="A140" s="23" t="s">
        <v>69</v>
      </c>
      <c r="B140" s="11">
        <f>B85</f>
        <v>6233.231485897146</v>
      </c>
      <c r="C140" s="3">
        <f>B93</f>
        <v>33900</v>
      </c>
      <c r="D140" s="3"/>
      <c r="E140" s="11">
        <f>D85</f>
        <v>14501.094016973995</v>
      </c>
      <c r="F140" s="3">
        <f>D93</f>
        <v>34950</v>
      </c>
      <c r="G140" s="3"/>
      <c r="H140" s="3"/>
      <c r="I140" s="3"/>
      <c r="J140" s="3"/>
    </row>
    <row r="141" spans="1:10" ht="12.75">
      <c r="A141" s="23" t="s">
        <v>70</v>
      </c>
      <c r="B141" s="11">
        <f>B86</f>
        <v>7482.127071198818</v>
      </c>
      <c r="C141" s="3">
        <f>B94</f>
        <v>22600</v>
      </c>
      <c r="D141" s="3"/>
      <c r="E141" s="11">
        <f>D86</f>
        <v>17406.545601889215</v>
      </c>
      <c r="F141" s="3">
        <f>D94</f>
        <v>23300</v>
      </c>
      <c r="G141" s="3"/>
      <c r="H141" s="3"/>
      <c r="I141" s="3"/>
      <c r="J141" s="3"/>
    </row>
    <row r="142" spans="1:10" ht="12.75">
      <c r="A142" s="23" t="s">
        <v>71</v>
      </c>
      <c r="B142" s="11">
        <f>B87</f>
        <v>2570.1627420509176</v>
      </c>
      <c r="C142" s="3">
        <f>B95</f>
        <v>22600</v>
      </c>
      <c r="D142" s="3"/>
      <c r="E142" s="11">
        <f>D87</f>
        <v>5979.269604494679</v>
      </c>
      <c r="F142" s="3">
        <f>D95</f>
        <v>23300</v>
      </c>
      <c r="G142" s="3"/>
      <c r="H142" s="3"/>
      <c r="I142" s="3"/>
      <c r="J142" s="3"/>
    </row>
    <row r="143" spans="1:10" ht="12.75">
      <c r="A143" s="23" t="s">
        <v>211</v>
      </c>
      <c r="B143" s="11">
        <f>G85</f>
        <v>6857.679278547982</v>
      </c>
      <c r="C143" s="3">
        <f>I85</f>
        <v>22600</v>
      </c>
      <c r="D143" s="3"/>
      <c r="E143" s="11">
        <f>H85</f>
        <v>15953.819809431605</v>
      </c>
      <c r="F143" s="3">
        <f>D95</f>
        <v>23300</v>
      </c>
      <c r="G143" s="3"/>
      <c r="H143" s="3"/>
      <c r="I143" s="3"/>
      <c r="J143" s="3"/>
    </row>
    <row r="144" spans="1:10" ht="12.75">
      <c r="A144" s="23" t="s">
        <v>213</v>
      </c>
      <c r="B144" s="11">
        <f>G86</f>
        <v>4401.697113974032</v>
      </c>
      <c r="C144" s="3">
        <f>I86</f>
        <v>22600</v>
      </c>
      <c r="D144" s="3"/>
      <c r="E144" s="11">
        <f>H86</f>
        <v>10240.181810734337</v>
      </c>
      <c r="F144" s="3">
        <f>D95</f>
        <v>23300</v>
      </c>
      <c r="G144" s="3"/>
      <c r="H144" s="3"/>
      <c r="I144" s="3"/>
      <c r="J144" s="3"/>
    </row>
    <row r="145" spans="1:10" ht="12.75">
      <c r="A145" s="3" t="s">
        <v>28</v>
      </c>
      <c r="B145" s="3"/>
      <c r="C145" s="3"/>
      <c r="D145" s="3"/>
      <c r="E145" s="3"/>
      <c r="F145" s="3" t="s">
        <v>28</v>
      </c>
      <c r="G145" s="3" t="s">
        <v>28</v>
      </c>
      <c r="H145" s="3"/>
      <c r="I145" s="3"/>
      <c r="J145" s="3"/>
    </row>
    <row r="146" spans="1:10" ht="12.75">
      <c r="A146" s="18" t="s">
        <v>216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 t="s">
        <v>37</v>
      </c>
      <c r="D147" s="3" t="s">
        <v>72</v>
      </c>
      <c r="E147" s="3"/>
      <c r="F147" s="3"/>
      <c r="G147" s="3"/>
      <c r="H147" s="3"/>
      <c r="I147" s="3"/>
      <c r="J147" s="3"/>
    </row>
    <row r="148" spans="1:10" ht="12.75">
      <c r="A148" s="23" t="s">
        <v>215</v>
      </c>
      <c r="B148" s="18">
        <v>29100000</v>
      </c>
      <c r="D148" s="18">
        <v>29500000</v>
      </c>
      <c r="E148" s="3"/>
      <c r="F148" s="3"/>
      <c r="G148" s="3"/>
      <c r="H148" s="3"/>
      <c r="I148" s="3"/>
      <c r="J148" s="3"/>
    </row>
    <row r="149" spans="1:10" ht="12.75">
      <c r="A149" s="23" t="s">
        <v>77</v>
      </c>
      <c r="B149" s="24">
        <f>C98</f>
        <v>0.13288673452927655</v>
      </c>
      <c r="D149" s="24">
        <f>E98</f>
        <v>0.35314433458986794</v>
      </c>
      <c r="E149" s="3"/>
      <c r="F149" s="3" t="s">
        <v>227</v>
      </c>
      <c r="G149" s="3"/>
      <c r="H149" s="3"/>
      <c r="I149" s="3"/>
      <c r="J149" s="3"/>
    </row>
    <row r="150" spans="1:10" ht="12.75">
      <c r="A150" s="3" t="s">
        <v>217</v>
      </c>
      <c r="B150" s="3"/>
      <c r="C150" s="3"/>
      <c r="D150" s="3"/>
      <c r="E150" s="3"/>
      <c r="F150" s="17">
        <f>E100</f>
        <v>48107.02354423639</v>
      </c>
      <c r="G150" s="3" t="s">
        <v>132</v>
      </c>
      <c r="H150" s="3"/>
      <c r="I150" s="3"/>
      <c r="J150" s="3"/>
    </row>
    <row r="151" spans="1:10" ht="12.75">
      <c r="A151" s="3" t="s">
        <v>218</v>
      </c>
      <c r="B151" s="3"/>
      <c r="C151" s="3"/>
      <c r="D151" s="3"/>
      <c r="E151" s="3"/>
      <c r="F151" s="17">
        <f>C103</f>
        <v>394257.09214920254</v>
      </c>
      <c r="G151" s="3" t="s">
        <v>219</v>
      </c>
      <c r="H151" s="3"/>
      <c r="I151" s="3"/>
      <c r="J151" s="3"/>
    </row>
    <row r="152" spans="8:10" ht="12.75">
      <c r="H152" s="3"/>
      <c r="I152" s="3"/>
      <c r="J152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</sheetData>
  <sheetProtection/>
  <printOptions/>
  <pageMargins left="0.787401575" right="0.787401575" top="0.984251969" bottom="0.984251969" header="0.5" footer="0.5"/>
  <pageSetup horizontalDpi="600" verticalDpi="600" orientation="portrait" r:id="rId2"/>
  <rowBreaks count="1" manualBreakCount="1">
    <brk id="1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Technip USA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Department</dc:creator>
  <cp:keywords/>
  <dc:description/>
  <cp:lastModifiedBy>Patty</cp:lastModifiedBy>
  <cp:lastPrinted>2006-06-14T16:05:16Z</cp:lastPrinted>
  <dcterms:created xsi:type="dcterms:W3CDTF">2001-03-01T21:33:33Z</dcterms:created>
  <dcterms:modified xsi:type="dcterms:W3CDTF">2015-12-02T20:49:10Z</dcterms:modified>
  <cp:category/>
  <cp:version/>
  <cp:contentType/>
  <cp:contentStatus/>
</cp:coreProperties>
</file>