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tabRatio="986" activeTab="2"/>
  </bookViews>
  <sheets>
    <sheet name="0-TG carretel-cprofile" sheetId="1" r:id="rId1"/>
    <sheet name="1A-PDV27A-lipseal" sheetId="2" r:id="rId2"/>
    <sheet name="1B-PDV27A-espiralada" sheetId="3" r:id="rId3"/>
    <sheet name="1C-PDV27A-cprofile" sheetId="4" r:id="rId4"/>
    <sheet name="3A-S bypass-espiral" sheetId="5" r:id="rId5"/>
    <sheet name="3B-S bypass-cprofile" sheetId="6" r:id="rId6"/>
    <sheet name="4-PDV-27C-lipseal" sheetId="7" r:id="rId7"/>
    <sheet name="5-Resumo" sheetId="8" r:id="rId8"/>
  </sheets>
  <definedNames>
    <definedName name="_xlnm.Print_Area" localSheetId="7">'5-Resumo'!$B$2:$J$11</definedName>
    <definedName name="solver_adj" localSheetId="0" hidden="1">'0-TG carretel-cprofile'!$B$114</definedName>
    <definedName name="solver_adj" localSheetId="1" hidden="1">'1A-PDV27A-lipseal'!$B$114</definedName>
    <definedName name="solver_adj" localSheetId="2" hidden="1">'1B-PDV27A-espiralada'!$B$114</definedName>
    <definedName name="solver_adj" localSheetId="3" hidden="1">'1C-PDV27A-cprofile'!$B$114</definedName>
    <definedName name="solver_adj" localSheetId="4" hidden="1">'3A-S bypass-espiral'!$B$114</definedName>
    <definedName name="solver_adj" localSheetId="5" hidden="1">'3B-S bypass-cprofile'!$B$114</definedName>
    <definedName name="solver_adj" localSheetId="6" hidden="1">'4-PDV-27C-lipseal'!$B$114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itr" localSheetId="7" hidden="1">100</definedName>
    <definedName name="solver_lhs1" localSheetId="0" hidden="1">'0-TG carretel-cprofile'!$B$154</definedName>
    <definedName name="solver_lhs1" localSheetId="1" hidden="1">'1A-PDV27A-lipseal'!$C$121</definedName>
    <definedName name="solver_lhs1" localSheetId="2" hidden="1">'1B-PDV27A-espiralada'!$B$154</definedName>
    <definedName name="solver_lhs1" localSheetId="3" hidden="1">'1C-PDV27A-cprofile'!$B$154</definedName>
    <definedName name="solver_lhs1" localSheetId="4" hidden="1">'3A-S bypass-espiral'!$B$154</definedName>
    <definedName name="solver_lhs1" localSheetId="5" hidden="1">'3B-S bypass-cprofile'!$C$121</definedName>
    <definedName name="solver_lhs1" localSheetId="6" hidden="1">'4-PDV-27C-lipseal'!$C$121</definedName>
    <definedName name="solver_lhs1" localSheetId="7" hidden="1">'5-Resumo'!$B$13</definedName>
    <definedName name="solver_lhs2" localSheetId="0" hidden="1">'0-TG carretel-cprofile'!$C$121</definedName>
    <definedName name="solver_lhs2" localSheetId="1" hidden="1">'1A-PDV27A-lipseal'!$C$122</definedName>
    <definedName name="solver_lhs2" localSheetId="2" hidden="1">'1B-PDV27A-espiralada'!$C$121</definedName>
    <definedName name="solver_lhs2" localSheetId="3" hidden="1">'1C-PDV27A-cprofile'!$C$121</definedName>
    <definedName name="solver_lhs2" localSheetId="4" hidden="1">'3A-S bypass-espiral'!$B$147</definedName>
    <definedName name="solver_lhs2" localSheetId="5" hidden="1">'3B-S bypass-cprofile'!$C$122</definedName>
    <definedName name="solver_lhs2" localSheetId="6" hidden="1">'4-PDV-27C-lipseal'!$C$122</definedName>
    <definedName name="solver_lhs3" localSheetId="0" hidden="1">'0-TG carretel-cprofile'!$C$122</definedName>
    <definedName name="solver_lhs3" localSheetId="1" hidden="1">'1A-PDV27A-lipseal'!$B$154</definedName>
    <definedName name="solver_lhs3" localSheetId="2" hidden="1">'1B-PDV27A-espiralada'!$C$122</definedName>
    <definedName name="solver_lhs3" localSheetId="3" hidden="1">'1C-PDV27A-cprofile'!$C$122</definedName>
    <definedName name="solver_lhs3" localSheetId="4" hidden="1">'3A-S bypass-espiral'!$B$140</definedName>
    <definedName name="solver_lhs3" localSheetId="5" hidden="1">'3B-S bypass-cprofile'!$B$140</definedName>
    <definedName name="solver_lhs3" localSheetId="6" hidden="1">'4-PDV-27C-lipseal'!$B$140</definedName>
    <definedName name="solver_lhs4" localSheetId="1" hidden="1">'1A-PDV27A-lipseal'!$L$115</definedName>
    <definedName name="solver_lhs4" localSheetId="4" hidden="1">'3A-S bypass-espiral'!$C$121</definedName>
    <definedName name="solver_lhs4" localSheetId="5" hidden="1">'3B-S bypass-cprofile'!$B$147</definedName>
    <definedName name="solver_lhs4" localSheetId="6" hidden="1">'4-PDV-27C-lipseal'!$B$147</definedName>
    <definedName name="solver_lhs5" localSheetId="4" hidden="1">'3A-S bypass-espiral'!$C$122</definedName>
    <definedName name="solver_lhs5" localSheetId="5" hidden="1">'3B-S bypass-cprofile'!$B$154</definedName>
    <definedName name="solver_lhs5" localSheetId="6" hidden="1">'4-PDV-27C-lipseal'!$B$154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um" localSheetId="0" hidden="1">3</definedName>
    <definedName name="solver_num" localSheetId="1" hidden="1">3</definedName>
    <definedName name="solver_num" localSheetId="2" hidden="1">3</definedName>
    <definedName name="solver_num" localSheetId="3" hidden="1">3</definedName>
    <definedName name="solver_num" localSheetId="4" hidden="1">5</definedName>
    <definedName name="solver_num" localSheetId="5" hidden="1">5</definedName>
    <definedName name="solver_num" localSheetId="6" hidden="1">5</definedName>
    <definedName name="solver_num" localSheetId="7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opt" localSheetId="0" hidden="1">'0-TG carretel-cprofile'!$B$114</definedName>
    <definedName name="solver_opt" localSheetId="1" hidden="1">'1A-PDV27A-lipseal'!$B$114</definedName>
    <definedName name="solver_opt" localSheetId="2" hidden="1">'1B-PDV27A-espiralada'!$B$114</definedName>
    <definedName name="solver_opt" localSheetId="3" hidden="1">'1C-PDV27A-cprofile'!$B$114</definedName>
    <definedName name="solver_opt" localSheetId="4" hidden="1">'3A-S bypass-espiral'!$B$114</definedName>
    <definedName name="solver_opt" localSheetId="5" hidden="1">'3B-S bypass-cprofile'!$B$114</definedName>
    <definedName name="solver_opt" localSheetId="6" hidden="1">'4-PDV-27C-lipseal'!$B$114</definedName>
    <definedName name="solver_opt" localSheetId="7" hidden="1">'5-Resumo'!$B$13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5" hidden="1">1</definedName>
    <definedName name="solver_rel1" localSheetId="6" hidden="1">1</definedName>
    <definedName name="solver_rel1" localSheetId="7" hidden="1">1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2" localSheetId="5" hidden="1">1</definedName>
    <definedName name="solver_rel2" localSheetId="6" hidden="1">1</definedName>
    <definedName name="solver_rel3" localSheetId="0" hidden="1">1</definedName>
    <definedName name="solver_rel3" localSheetId="1" hidden="1">1</definedName>
    <definedName name="solver_rel3" localSheetId="2" hidden="1">1</definedName>
    <definedName name="solver_rel3" localSheetId="3" hidden="1">1</definedName>
    <definedName name="solver_rel3" localSheetId="4" hidden="1">1</definedName>
    <definedName name="solver_rel3" localSheetId="5" hidden="1">1</definedName>
    <definedName name="solver_rel3" localSheetId="6" hidden="1">1</definedName>
    <definedName name="solver_rel4" localSheetId="1" hidden="1">1</definedName>
    <definedName name="solver_rel4" localSheetId="4" hidden="1">1</definedName>
    <definedName name="solver_rel4" localSheetId="5" hidden="1">1</definedName>
    <definedName name="solver_rel4" localSheetId="6" hidden="1">1</definedName>
    <definedName name="solver_rel5" localSheetId="4" hidden="1">1</definedName>
    <definedName name="solver_rel5" localSheetId="5" hidden="1">1</definedName>
    <definedName name="solver_rel5" localSheetId="6" hidden="1">1</definedName>
    <definedName name="solver_rhs1" localSheetId="0" hidden="1">1</definedName>
    <definedName name="solver_rhs1" localSheetId="1" hidden="1">'1A-PDV27A-lipseal'!$B$65</definedName>
    <definedName name="solver_rhs1" localSheetId="2" hidden="1">1</definedName>
    <definedName name="solver_rhs1" localSheetId="3" hidden="1">1</definedName>
    <definedName name="solver_rhs1" localSheetId="4" hidden="1">1</definedName>
    <definedName name="solver_rhs1" localSheetId="5" hidden="1">'3B-S bypass-cprofile'!$B$65</definedName>
    <definedName name="solver_rhs1" localSheetId="6" hidden="1">'4-PDV-27C-lipseal'!$B$65</definedName>
    <definedName name="solver_rhs1" localSheetId="7" hidden="1">'1A-PDV27A-lipseal'!$B$34</definedName>
    <definedName name="solver_rhs2" localSheetId="0" hidden="1">'0-TG carretel-cprofile'!$B$65</definedName>
    <definedName name="solver_rhs2" localSheetId="1" hidden="1">'1A-PDV27A-lipseal'!$B$65</definedName>
    <definedName name="solver_rhs2" localSheetId="2" hidden="1">'1B-PDV27A-espiralada'!$B$65</definedName>
    <definedName name="solver_rhs2" localSheetId="3" hidden="1">'1C-PDV27A-cprofile'!$B$65</definedName>
    <definedName name="solver_rhs2" localSheetId="4" hidden="1">1</definedName>
    <definedName name="solver_rhs2" localSheetId="5" hidden="1">'3B-S bypass-cprofile'!$B$65</definedName>
    <definedName name="solver_rhs2" localSheetId="6" hidden="1">'4-PDV-27C-lipseal'!$B$65</definedName>
    <definedName name="solver_rhs3" localSheetId="0" hidden="1">'0-TG carretel-cprofile'!$B$65</definedName>
    <definedName name="solver_rhs3" localSheetId="1" hidden="1">1</definedName>
    <definedName name="solver_rhs3" localSheetId="2" hidden="1">'1B-PDV27A-espiralada'!$B$65</definedName>
    <definedName name="solver_rhs3" localSheetId="3" hidden="1">'1C-PDV27A-cprofile'!$B$65</definedName>
    <definedName name="solver_rhs3" localSheetId="4" hidden="1">1</definedName>
    <definedName name="solver_rhs3" localSheetId="5" hidden="1">1</definedName>
    <definedName name="solver_rhs3" localSheetId="6" hidden="1">1</definedName>
    <definedName name="solver_rhs4" localSheetId="1" hidden="1">'1A-PDV27A-lipseal'!$B$34</definedName>
    <definedName name="solver_rhs4" localSheetId="4" hidden="1">'3A-S bypass-espiral'!$B$65</definedName>
    <definedName name="solver_rhs4" localSheetId="5" hidden="1">1</definedName>
    <definedName name="solver_rhs4" localSheetId="6" hidden="1">1</definedName>
    <definedName name="solver_rhs5" localSheetId="4" hidden="1">'3A-S bypass-espiral'!$B$65</definedName>
    <definedName name="solver_rhs5" localSheetId="5" hidden="1">1</definedName>
    <definedName name="solver_rhs5" localSheetId="6" hidden="1">1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</definedNames>
  <calcPr fullCalcOnLoad="1"/>
</workbook>
</file>

<file path=xl/sharedStrings.xml><?xml version="1.0" encoding="utf-8"?>
<sst xmlns="http://schemas.openxmlformats.org/spreadsheetml/2006/main" count="4970" uniqueCount="414">
  <si>
    <t>psi</t>
  </si>
  <si>
    <t>kgf</t>
  </si>
  <si>
    <t>mm</t>
  </si>
  <si>
    <t xml:space="preserve">2) Cálculo da força de tração requerida nos parafusos p/assentamento da junta de vedação conf. APPENDIX 2 ASME VIII Division 1: </t>
  </si>
  <si>
    <t>3) Cálculo da força mínima de aperto requerida nos parafusos conf.APPENDIX 2 ASME VIII Division 1 a ser mantida nas condições de PROJETO</t>
  </si>
  <si>
    <t>T</t>
  </si>
  <si>
    <t>ºC</t>
  </si>
  <si>
    <t>Temperatura de projeto</t>
  </si>
  <si>
    <t>Sb</t>
  </si>
  <si>
    <t>KPa</t>
  </si>
  <si>
    <t>Tensão admissível do parafuso a quente (temperatura de projeto)</t>
  </si>
  <si>
    <t>Sa</t>
  </si>
  <si>
    <t>Tensão admissível do parafuso a frio ( a 38ºC = 100 ºF)</t>
  </si>
  <si>
    <t>Np</t>
  </si>
  <si>
    <t>adim.</t>
  </si>
  <si>
    <t>número de parafusos</t>
  </si>
  <si>
    <t>A.Real</t>
  </si>
  <si>
    <r>
      <t>in</t>
    </r>
    <r>
      <rPr>
        <vertAlign val="superscript"/>
        <sz val="7"/>
        <rFont val="Arial"/>
        <family val="2"/>
      </rPr>
      <t>2</t>
    </r>
  </si>
  <si>
    <r>
      <t>mm</t>
    </r>
    <r>
      <rPr>
        <vertAlign val="superscript"/>
        <sz val="7"/>
        <rFont val="Arial"/>
        <family val="2"/>
      </rPr>
      <t>2</t>
    </r>
  </si>
  <si>
    <t>Área real de 1 parafuso, área da Raiz conforme tabela H1 do APP H do ASME PCC 1-2000)</t>
  </si>
  <si>
    <t>Ab</t>
  </si>
  <si>
    <t>Área real de todos os parafusos = A.Real x Np</t>
  </si>
  <si>
    <t>Am1</t>
  </si>
  <si>
    <t xml:space="preserve">Área req. de parafusos  condições projeto em função tensão admis. a quente = Wm1/Sb </t>
  </si>
  <si>
    <t>Am2</t>
  </si>
  <si>
    <t>Área req. de parafusos  cond. assent. junta em função tensão admis. a frio = Wm2/Sa</t>
  </si>
  <si>
    <t>Am</t>
  </si>
  <si>
    <t>Área requerida de parafusos (maior valor entre Am1 e Am2)</t>
  </si>
  <si>
    <t>W1</t>
  </si>
  <si>
    <t>lb</t>
  </si>
  <si>
    <t>Força  req.p/assent. da junta em função do diâmetro real dos parafusos = 0,5(Am+Ab)Sa</t>
  </si>
  <si>
    <t>W2</t>
  </si>
  <si>
    <t>W</t>
  </si>
  <si>
    <t>Força requerida nos parafusos: maior valor entre W1 e W2</t>
  </si>
  <si>
    <t>Cálculo de Projeto de Flanges</t>
  </si>
  <si>
    <t>Informações a inserir</t>
  </si>
  <si>
    <t>(Entradas pelo Sist. Americano com conversão automática para o Sist.Internacional)</t>
  </si>
  <si>
    <t>Resultados de cálculo</t>
  </si>
  <si>
    <t>Características da Ligação Flangeada</t>
  </si>
  <si>
    <t>Descrição do Equipamento</t>
  </si>
  <si>
    <t>Caracteríesticas dos Flanges</t>
  </si>
  <si>
    <t>Característ.Parafusos/Estojos</t>
  </si>
  <si>
    <t>Características das Juntas</t>
  </si>
  <si>
    <t>1) Cálculo da pressão equivalente incluindo esforços externos.</t>
  </si>
  <si>
    <t>Unidades Americanas</t>
  </si>
  <si>
    <t>Sistema Internacional</t>
  </si>
  <si>
    <t>De</t>
  </si>
  <si>
    <t>in</t>
  </si>
  <si>
    <t>Diâmetro Externo da Junta</t>
  </si>
  <si>
    <t>Di</t>
  </si>
  <si>
    <t>Diâmetro Interno da Junta</t>
  </si>
  <si>
    <t>m</t>
  </si>
  <si>
    <t>Fator de Junta: Tabela 2.5.1 do APPENDIX 2 - MANDATORY ASME VIII Division 1</t>
  </si>
  <si>
    <r>
      <t>p</t>
    </r>
    <r>
      <rPr>
        <vertAlign val="subscript"/>
        <sz val="7"/>
        <rFont val="Arial"/>
        <family val="2"/>
      </rPr>
      <t>i</t>
    </r>
  </si>
  <si>
    <t>Pressão interna de projeto</t>
  </si>
  <si>
    <r>
      <t>M</t>
    </r>
    <r>
      <rPr>
        <vertAlign val="subscript"/>
        <sz val="7"/>
        <rFont val="Arial"/>
        <family val="2"/>
      </rPr>
      <t>ext</t>
    </r>
  </si>
  <si>
    <t>lb.in</t>
  </si>
  <si>
    <t>Kg-m</t>
  </si>
  <si>
    <t>Momento resultante externo relativo a dilatação térmica (se houver) (adotar sempre positivo)</t>
  </si>
  <si>
    <r>
      <t>F</t>
    </r>
    <r>
      <rPr>
        <vertAlign val="subscript"/>
        <sz val="7"/>
        <rFont val="Arial"/>
        <family val="2"/>
      </rPr>
      <t>axial</t>
    </r>
  </si>
  <si>
    <t xml:space="preserve">Força axial externa relativo a dilatação térmica (se houver) (adotar sinal positivo para força que provoca a  abertura dos flanges e negativo, o sentido oposto) </t>
  </si>
  <si>
    <r>
      <t>p</t>
    </r>
    <r>
      <rPr>
        <vertAlign val="subscript"/>
        <sz val="7"/>
        <rFont val="Arial"/>
        <family val="2"/>
      </rPr>
      <t>eqm</t>
    </r>
  </si>
  <si>
    <t>Pressão equivalente referente ao Momento = (16*Mext)/(3,14*(G^3)</t>
  </si>
  <si>
    <r>
      <t>p</t>
    </r>
    <r>
      <rPr>
        <vertAlign val="subscript"/>
        <sz val="7"/>
        <rFont val="Arial"/>
        <family val="2"/>
      </rPr>
      <t>eqf</t>
    </r>
  </si>
  <si>
    <t>Pressão equivalente referente à Força axial = (4*Faxial) / (3,14*(G^2))</t>
  </si>
  <si>
    <r>
      <t>p</t>
    </r>
    <r>
      <rPr>
        <vertAlign val="subscript"/>
        <sz val="7"/>
        <rFont val="Arial"/>
        <family val="2"/>
      </rPr>
      <t>eq</t>
    </r>
  </si>
  <si>
    <r>
      <t>Pressão equivalente total = p</t>
    </r>
    <r>
      <rPr>
        <vertAlign val="subscript"/>
        <sz val="7"/>
        <rFont val="Arial"/>
        <family val="2"/>
      </rPr>
      <t>eqm</t>
    </r>
    <r>
      <rPr>
        <sz val="7"/>
        <rFont val="Arial"/>
        <family val="2"/>
      </rPr>
      <t xml:space="preserve"> + p</t>
    </r>
    <r>
      <rPr>
        <vertAlign val="subscript"/>
        <sz val="7"/>
        <rFont val="Arial"/>
        <family val="2"/>
      </rPr>
      <t>eqf</t>
    </r>
  </si>
  <si>
    <t>p</t>
  </si>
  <si>
    <r>
      <t>Pressão total = p</t>
    </r>
    <r>
      <rPr>
        <vertAlign val="subscript"/>
        <sz val="7"/>
        <rFont val="Arial"/>
        <family val="2"/>
      </rPr>
      <t>eq</t>
    </r>
    <r>
      <rPr>
        <sz val="7"/>
        <rFont val="Arial"/>
        <family val="2"/>
      </rPr>
      <t xml:space="preserve"> + p</t>
    </r>
    <r>
      <rPr>
        <vertAlign val="subscript"/>
        <sz val="7"/>
        <rFont val="Arial"/>
        <family val="2"/>
      </rPr>
      <t>i</t>
    </r>
  </si>
  <si>
    <t>N</t>
  </si>
  <si>
    <t>Largura da junta conforme tabela 2-5-2 - APPENDIX 2 - ASME VIII Division 1</t>
  </si>
  <si>
    <r>
      <t>b</t>
    </r>
    <r>
      <rPr>
        <vertAlign val="subscript"/>
        <sz val="7"/>
        <rFont val="Arial"/>
        <family val="2"/>
      </rPr>
      <t>0</t>
    </r>
  </si>
  <si>
    <t>Largura base de assentamento da junta conforme tabela 2-5-2 - Appendix 2</t>
  </si>
  <si>
    <t>b</t>
  </si>
  <si>
    <t>G</t>
  </si>
  <si>
    <r>
      <t>Diâmetro da reação de carga da junta: (De+Di)/2 se b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 xml:space="preserve"> ≤ 1/4in ou (De - 2b) se b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 xml:space="preserve"> &gt; 1/4in</t>
    </r>
  </si>
  <si>
    <t>H</t>
  </si>
  <si>
    <r>
      <t>Força de abertura dos flanges devido à pressão interna =  p(0,785.G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</si>
  <si>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Hp</t>
  </si>
  <si>
    <r>
      <t>Força residual a ser mantida sobre a junta = m.p</t>
    </r>
    <r>
      <rPr>
        <vertAlign val="subscript"/>
        <sz val="7"/>
        <rFont val="Arial"/>
        <family val="2"/>
      </rPr>
      <t xml:space="preserve">i </t>
    </r>
    <r>
      <rPr>
        <sz val="7"/>
        <rFont val="Arial"/>
        <family val="2"/>
      </rPr>
      <t>(2b)G.(3,14)</t>
    </r>
  </si>
  <si>
    <t>Wm1</t>
  </si>
  <si>
    <r>
      <t>Força mínima requerida para a vedação na pressão total (inclusive carreg.externo) =  H + H</t>
    </r>
    <r>
      <rPr>
        <vertAlign val="subscript"/>
        <sz val="8"/>
        <rFont val="Arial"/>
        <family val="2"/>
      </rPr>
      <t>p</t>
    </r>
  </si>
  <si>
    <t>y</t>
  </si>
  <si>
    <t>Tensão Mínima de Assentamento da junta: Tabela 2.5.1  APPENDIX 2 - ASME VIII Division 1</t>
  </si>
  <si>
    <t>Wm2</t>
  </si>
  <si>
    <t>Força mínima requerida para assentamento da junta = bGy(3,14)</t>
  </si>
  <si>
    <t>4) Características geométricas e de material dos flanges</t>
  </si>
  <si>
    <t xml:space="preserve"> Definição do tipo de flange para efeito de Cálculo dos Flanges conforme ASME Div.1, Seç.VIII, Apêndice 2</t>
  </si>
  <si>
    <t xml:space="preserve">       a) Flange Integral ou Flange Opcional projetado como Tipo Integral</t>
  </si>
  <si>
    <t xml:space="preserve">       b) Flange Tipo Solto ou Flange Opcional projetado como Tipo Solto</t>
  </si>
  <si>
    <t xml:space="preserve">       c) Flange Tipo Solto com Virola</t>
  </si>
  <si>
    <t>Flange Tipo</t>
  </si>
  <si>
    <t>a</t>
  </si>
  <si>
    <t xml:space="preserve">            Escolher o código de Flange conforme acima: (a, b ou c)</t>
  </si>
  <si>
    <t>R</t>
  </si>
  <si>
    <t>Distância radial do diâmetro de furação do flange até o ponto de interseção do cubo com a face do flange</t>
  </si>
  <si>
    <t>g1</t>
  </si>
  <si>
    <t>Espessura maior do cubo do flange</t>
  </si>
  <si>
    <r>
      <t>g</t>
    </r>
    <r>
      <rPr>
        <vertAlign val="subscript"/>
        <sz val="7"/>
        <rFont val="Arial"/>
        <family val="2"/>
      </rPr>
      <t>0</t>
    </r>
  </si>
  <si>
    <t>Espessura menor do cubo do flange</t>
  </si>
  <si>
    <t>C'</t>
  </si>
  <si>
    <t>Diâmetro do círculo de furação do flange</t>
  </si>
  <si>
    <t>B</t>
  </si>
  <si>
    <t>Diâmetro interno do flange</t>
  </si>
  <si>
    <t>A'</t>
  </si>
  <si>
    <t>Diâmetro externo do Flange</t>
  </si>
  <si>
    <t>h</t>
  </si>
  <si>
    <t>Comprimento do cubo do flange</t>
  </si>
  <si>
    <r>
      <t>h</t>
    </r>
    <r>
      <rPr>
        <vertAlign val="subscript"/>
        <sz val="7"/>
        <rFont val="Arial"/>
        <family val="2"/>
      </rPr>
      <t>0</t>
    </r>
  </si>
  <si>
    <r>
      <t>Fator = √(Bg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)</t>
    </r>
  </si>
  <si>
    <t>e</t>
  </si>
  <si>
    <t>1/in</t>
  </si>
  <si>
    <t>1/mm</t>
  </si>
  <si>
    <r>
      <t>Fator = (F/h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) para Flange Integral,      (F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>/h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) para Flange Solto</t>
    </r>
  </si>
  <si>
    <t>t</t>
  </si>
  <si>
    <t>Espessura do flange</t>
  </si>
  <si>
    <t>SA 182 F304H</t>
  </si>
  <si>
    <t>-</t>
  </si>
  <si>
    <t>Material do Flange</t>
  </si>
  <si>
    <t>E</t>
  </si>
  <si>
    <t>Kpa</t>
  </si>
  <si>
    <t>Módulo de Eslasticidade do material do flange na temperatura atmosférica</t>
  </si>
  <si>
    <t>Sfp</t>
  </si>
  <si>
    <t>Tensão admissível do flange na temperatura de PROJETO</t>
  </si>
  <si>
    <t>Sff</t>
  </si>
  <si>
    <t>Tensão admissível do flange na temperatura atmosférica</t>
  </si>
  <si>
    <t>SA 240 Gr304H</t>
  </si>
  <si>
    <t>Material do pescoço do bocal ou parede do tubo</t>
  </si>
  <si>
    <t>Snp</t>
  </si>
  <si>
    <t>Tensão admissível do pescoço do bocal ou parede do tubo na temperatura de PROJETO</t>
  </si>
  <si>
    <t>Snf</t>
  </si>
  <si>
    <t>Tensão admissível do pescoço do bocal ou parede do tubo na temperatura atmosférica</t>
  </si>
  <si>
    <r>
      <t>h</t>
    </r>
    <r>
      <rPr>
        <vertAlign val="subscript"/>
        <sz val="7"/>
        <rFont val="Arial"/>
        <family val="2"/>
      </rPr>
      <t>D</t>
    </r>
  </si>
  <si>
    <r>
      <t>Distância radial do círculo de furação do flange até o círculo onde atua a força H</t>
    </r>
    <r>
      <rPr>
        <vertAlign val="subscript"/>
        <sz val="7"/>
        <rFont val="Arial"/>
        <family val="2"/>
      </rPr>
      <t>D</t>
    </r>
  </si>
  <si>
    <r>
      <t>h</t>
    </r>
    <r>
      <rPr>
        <vertAlign val="subscript"/>
        <sz val="7"/>
        <rFont val="Arial"/>
        <family val="2"/>
      </rPr>
      <t>T</t>
    </r>
  </si>
  <si>
    <r>
      <t>Distância radial do círculo de furação do flange até o círculo onde atua a força H</t>
    </r>
    <r>
      <rPr>
        <vertAlign val="subscript"/>
        <sz val="7"/>
        <rFont val="Arial"/>
        <family val="2"/>
      </rPr>
      <t>T</t>
    </r>
  </si>
  <si>
    <r>
      <t>h</t>
    </r>
    <r>
      <rPr>
        <vertAlign val="subscript"/>
        <sz val="7"/>
        <rFont val="Arial"/>
        <family val="2"/>
      </rPr>
      <t>G</t>
    </r>
  </si>
  <si>
    <t>Distãncia radial do círculo de reação da junta ao círculo de furação do flange</t>
  </si>
  <si>
    <t>5) Cálculo das Forças, Momentos e Tensões nos flanges, nas condições de PROJETO</t>
  </si>
  <si>
    <r>
      <t>H</t>
    </r>
    <r>
      <rPr>
        <vertAlign val="subscript"/>
        <sz val="7"/>
        <rFont val="Arial"/>
        <family val="2"/>
      </rPr>
      <t>DO</t>
    </r>
  </si>
  <si>
    <t>Força hidrostática sobre a área interna ao flange = 3,1416*(B^2)/4*p</t>
  </si>
  <si>
    <r>
      <t>H</t>
    </r>
    <r>
      <rPr>
        <vertAlign val="subscript"/>
        <sz val="7"/>
        <rFont val="Arial"/>
        <family val="2"/>
      </rPr>
      <t>TO</t>
    </r>
  </si>
  <si>
    <r>
      <t>Diferença entre a força hidrost. total e a força hidrost. sobre a área interna ao flange = H - H</t>
    </r>
    <r>
      <rPr>
        <vertAlign val="subscript"/>
        <sz val="7"/>
        <rFont val="Arial"/>
        <family val="2"/>
      </rPr>
      <t>DO</t>
    </r>
  </si>
  <si>
    <r>
      <t>H</t>
    </r>
    <r>
      <rPr>
        <vertAlign val="subscript"/>
        <sz val="7"/>
        <rFont val="Arial"/>
        <family val="2"/>
      </rPr>
      <t>GO</t>
    </r>
  </si>
  <si>
    <t>Carga na junta = diferença entre a carga de projeto dos paraf. e a força hidrost. total = Wm1 - H</t>
  </si>
  <si>
    <r>
      <t>M</t>
    </r>
    <r>
      <rPr>
        <vertAlign val="subscript"/>
        <sz val="7"/>
        <rFont val="Arial"/>
        <family val="2"/>
      </rPr>
      <t>DO</t>
    </r>
  </si>
  <si>
    <r>
      <t>Componente do Momento devido à Força H</t>
    </r>
    <r>
      <rPr>
        <vertAlign val="subscript"/>
        <sz val="7"/>
        <rFont val="Arial"/>
        <family val="2"/>
      </rPr>
      <t xml:space="preserve">DO </t>
    </r>
    <r>
      <rPr>
        <sz val="7"/>
        <rFont val="Arial"/>
        <family val="2"/>
      </rPr>
      <t>= H</t>
    </r>
    <r>
      <rPr>
        <vertAlign val="subscript"/>
        <sz val="7"/>
        <rFont val="Arial"/>
        <family val="2"/>
      </rPr>
      <t>DO</t>
    </r>
    <r>
      <rPr>
        <sz val="7"/>
        <rFont val="Arial"/>
        <family val="2"/>
      </rPr>
      <t xml:space="preserve"> * h</t>
    </r>
    <r>
      <rPr>
        <vertAlign val="subscript"/>
        <sz val="7"/>
        <rFont val="Arial"/>
        <family val="2"/>
      </rPr>
      <t>D</t>
    </r>
  </si>
  <si>
    <r>
      <t>M</t>
    </r>
    <r>
      <rPr>
        <vertAlign val="subscript"/>
        <sz val="7"/>
        <rFont val="Arial"/>
        <family val="2"/>
      </rPr>
      <t>TO</t>
    </r>
  </si>
  <si>
    <r>
      <t>Componente do Momento devido à Força H</t>
    </r>
    <r>
      <rPr>
        <vertAlign val="subscript"/>
        <sz val="7"/>
        <rFont val="Arial"/>
        <family val="2"/>
      </rPr>
      <t xml:space="preserve">TO </t>
    </r>
    <r>
      <rPr>
        <sz val="7"/>
        <rFont val="Arial"/>
        <family val="2"/>
      </rPr>
      <t>=  H</t>
    </r>
    <r>
      <rPr>
        <vertAlign val="subscript"/>
        <sz val="7"/>
        <rFont val="Arial"/>
        <family val="2"/>
      </rPr>
      <t>TO</t>
    </r>
    <r>
      <rPr>
        <sz val="7"/>
        <rFont val="Arial"/>
        <family val="2"/>
      </rPr>
      <t xml:space="preserve"> * h</t>
    </r>
    <r>
      <rPr>
        <vertAlign val="subscript"/>
        <sz val="7"/>
        <rFont val="Arial"/>
        <family val="2"/>
      </rPr>
      <t>T</t>
    </r>
  </si>
  <si>
    <r>
      <t>M</t>
    </r>
    <r>
      <rPr>
        <vertAlign val="subscript"/>
        <sz val="7"/>
        <rFont val="Arial"/>
        <family val="2"/>
      </rPr>
      <t>GO</t>
    </r>
  </si>
  <si>
    <r>
      <t>Componente do Momento devido à Força H</t>
    </r>
    <r>
      <rPr>
        <vertAlign val="subscript"/>
        <sz val="7"/>
        <rFont val="Arial"/>
        <family val="2"/>
      </rPr>
      <t xml:space="preserve">GO </t>
    </r>
    <r>
      <rPr>
        <sz val="7"/>
        <rFont val="Arial"/>
        <family val="2"/>
      </rPr>
      <t>= H</t>
    </r>
    <r>
      <rPr>
        <vertAlign val="subscript"/>
        <sz val="7"/>
        <rFont val="Arial"/>
        <family val="2"/>
      </rPr>
      <t>GO</t>
    </r>
    <r>
      <rPr>
        <sz val="7"/>
        <rFont val="Arial"/>
        <family val="2"/>
      </rPr>
      <t xml:space="preserve"> * h</t>
    </r>
    <r>
      <rPr>
        <vertAlign val="subscript"/>
        <sz val="7"/>
        <rFont val="Arial"/>
        <family val="2"/>
      </rPr>
      <t>G</t>
    </r>
  </si>
  <si>
    <r>
      <t>M</t>
    </r>
    <r>
      <rPr>
        <vertAlign val="subscript"/>
        <sz val="7"/>
        <rFont val="Arial"/>
        <family val="2"/>
      </rPr>
      <t>0O</t>
    </r>
  </si>
  <si>
    <r>
      <t>Momento total atuante sobre o flange nas condições de PROJETO = M</t>
    </r>
    <r>
      <rPr>
        <vertAlign val="subscript"/>
        <sz val="7"/>
        <rFont val="Arial"/>
        <family val="2"/>
      </rPr>
      <t>DO</t>
    </r>
    <r>
      <rPr>
        <sz val="7"/>
        <rFont val="Arial"/>
        <family val="2"/>
      </rPr>
      <t xml:space="preserve"> + M</t>
    </r>
    <r>
      <rPr>
        <vertAlign val="subscript"/>
        <sz val="7"/>
        <rFont val="Arial"/>
        <family val="2"/>
      </rPr>
      <t>TO</t>
    </r>
    <r>
      <rPr>
        <sz val="7"/>
        <rFont val="Arial"/>
        <family val="2"/>
      </rPr>
      <t xml:space="preserve"> +M</t>
    </r>
    <r>
      <rPr>
        <vertAlign val="subscript"/>
        <sz val="7"/>
        <rFont val="Arial"/>
        <family val="2"/>
      </rPr>
      <t>GO</t>
    </r>
  </si>
  <si>
    <r>
      <t>S</t>
    </r>
    <r>
      <rPr>
        <vertAlign val="subscript"/>
        <sz val="7"/>
        <rFont val="Arial"/>
        <family val="2"/>
      </rPr>
      <t>HO</t>
    </r>
  </si>
  <si>
    <r>
      <t>Tensão Longitudinal: para Flange Integral = (f*M</t>
    </r>
    <r>
      <rPr>
        <vertAlign val="subscript"/>
        <sz val="7"/>
        <rFont val="Arial"/>
        <family val="2"/>
      </rPr>
      <t>0O</t>
    </r>
    <r>
      <rPr>
        <sz val="7"/>
        <rFont val="Arial"/>
        <family val="2"/>
      </rPr>
      <t>)/(L</t>
    </r>
    <r>
      <rPr>
        <vertAlign val="subscript"/>
        <sz val="7"/>
        <rFont val="Arial"/>
        <family val="2"/>
      </rPr>
      <t>INT</t>
    </r>
    <r>
      <rPr>
        <sz val="7"/>
        <rFont val="Arial"/>
        <family val="2"/>
      </rPr>
      <t>*g</t>
    </r>
    <r>
      <rPr>
        <vertAlign val="subscript"/>
        <sz val="7"/>
        <rFont val="Arial"/>
        <family val="2"/>
      </rPr>
      <t>1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B), para Flange Solto = 0</t>
    </r>
  </si>
  <si>
    <r>
      <t>S</t>
    </r>
    <r>
      <rPr>
        <vertAlign val="subscript"/>
        <sz val="7"/>
        <rFont val="Arial"/>
        <family val="2"/>
      </rPr>
      <t>RO</t>
    </r>
  </si>
  <si>
    <r>
      <t>Tensão Radial: para Flange Integral = (((1,33*t*e)+1)*M</t>
    </r>
    <r>
      <rPr>
        <vertAlign val="subscript"/>
        <sz val="7"/>
        <rFont val="Arial"/>
        <family val="2"/>
      </rPr>
      <t>0O</t>
    </r>
    <r>
      <rPr>
        <sz val="7"/>
        <rFont val="Arial"/>
        <family val="2"/>
      </rPr>
      <t>)/(L</t>
    </r>
    <r>
      <rPr>
        <vertAlign val="subscript"/>
        <sz val="7"/>
        <rFont val="Arial"/>
        <family val="2"/>
      </rPr>
      <t>INT</t>
    </r>
    <r>
      <rPr>
        <sz val="7"/>
        <rFont val="Arial"/>
        <family val="2"/>
      </rPr>
      <t>*(t^2)*B), para Flange Solto = 0</t>
    </r>
  </si>
  <si>
    <r>
      <t>S</t>
    </r>
    <r>
      <rPr>
        <vertAlign val="subscript"/>
        <sz val="7"/>
        <rFont val="Arial"/>
        <family val="2"/>
      </rPr>
      <t>TO</t>
    </r>
  </si>
  <si>
    <r>
      <t>Tensão Tangencial: para Flange Integral =((Y*M</t>
    </r>
    <r>
      <rPr>
        <vertAlign val="subscript"/>
        <sz val="7"/>
        <rFont val="Arial"/>
        <family val="2"/>
      </rPr>
      <t>0O</t>
    </r>
    <r>
      <rPr>
        <sz val="7"/>
        <rFont val="Arial"/>
        <family val="2"/>
      </rPr>
      <t>)/(t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*B))-(Z*S</t>
    </r>
    <r>
      <rPr>
        <vertAlign val="subscript"/>
        <sz val="7"/>
        <rFont val="Arial"/>
        <family val="2"/>
      </rPr>
      <t>RO</t>
    </r>
    <r>
      <rPr>
        <sz val="7"/>
        <rFont val="Arial"/>
        <family val="2"/>
      </rPr>
      <t>),                                                       para Flange Solto = (Y*M</t>
    </r>
    <r>
      <rPr>
        <vertAlign val="subscript"/>
        <sz val="7"/>
        <rFont val="Arial"/>
        <family val="2"/>
      </rPr>
      <t>0O</t>
    </r>
    <r>
      <rPr>
        <sz val="7"/>
        <rFont val="Arial"/>
        <family val="2"/>
      </rPr>
      <t>)/(t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*B)</t>
    </r>
  </si>
  <si>
    <r>
      <t>(S</t>
    </r>
    <r>
      <rPr>
        <vertAlign val="subscript"/>
        <sz val="7"/>
        <rFont val="Arial"/>
        <family val="2"/>
      </rPr>
      <t>HO</t>
    </r>
    <r>
      <rPr>
        <sz val="7"/>
        <rFont val="Arial"/>
        <family val="2"/>
      </rPr>
      <t>+S</t>
    </r>
    <r>
      <rPr>
        <vertAlign val="subscript"/>
        <sz val="7"/>
        <rFont val="Arial"/>
        <family val="2"/>
      </rPr>
      <t>RO</t>
    </r>
    <r>
      <rPr>
        <sz val="7"/>
        <rFont val="Arial"/>
        <family val="2"/>
      </rPr>
      <t>) /2</t>
    </r>
  </si>
  <si>
    <t>Deve ser menor do que Sfp</t>
  </si>
  <si>
    <r>
      <t>(S</t>
    </r>
    <r>
      <rPr>
        <vertAlign val="subscript"/>
        <sz val="7"/>
        <rFont val="Arial"/>
        <family val="2"/>
      </rPr>
      <t>HO</t>
    </r>
    <r>
      <rPr>
        <sz val="7"/>
        <rFont val="Arial"/>
        <family val="2"/>
      </rPr>
      <t>+S</t>
    </r>
    <r>
      <rPr>
        <vertAlign val="subscript"/>
        <sz val="7"/>
        <rFont val="Arial"/>
        <family val="2"/>
      </rPr>
      <t>TO</t>
    </r>
    <r>
      <rPr>
        <sz val="7"/>
        <rFont val="Arial"/>
        <family val="2"/>
      </rPr>
      <t>) /2</t>
    </r>
  </si>
  <si>
    <t>6) Comparações entre as tensões ocorridas nos flanges nas condições de PROJETO e as tensões admissíveis:</t>
  </si>
  <si>
    <t xml:space="preserve"> Definição do tipo de flange p/ efeito de Tensões Admissíveis de Flanges conf. item 2.8 do ASME Div.1, Seç.VIII, Apêndice 2</t>
  </si>
  <si>
    <t xml:space="preserve">      1) Flange Integral - esquemas 6, 6a, ou 6b</t>
  </si>
  <si>
    <t xml:space="preserve">      2) Flange Integral - esquema 7</t>
  </si>
  <si>
    <t xml:space="preserve">      3) Flange Opcional projetado como Integral - esquemas 8, 8a, 9, 9a, 10, 10a</t>
  </si>
  <si>
    <t xml:space="preserve">      4) Flange Solto ou Opcional projetado como Solto</t>
  </si>
  <si>
    <t>Tipo de Flange</t>
  </si>
  <si>
    <t xml:space="preserve">    Escolher o código de Flange conforme acima: (1, 2, 3 ou 4)</t>
  </si>
  <si>
    <r>
      <t>Limite Tensão Longitudinal - S</t>
    </r>
    <r>
      <rPr>
        <vertAlign val="subscript"/>
        <sz val="6"/>
        <rFont val="Arial"/>
        <family val="2"/>
      </rPr>
      <t>H</t>
    </r>
    <r>
      <rPr>
        <sz val="6"/>
        <rFont val="Arial"/>
        <family val="2"/>
      </rPr>
      <t xml:space="preserve"> </t>
    </r>
  </si>
  <si>
    <t xml:space="preserve">Se Tipo de Flange = 1,  menor valor entre 1,5Sfp e 2,5 Snp               Se Tipo de Flange = 2 ou 3,  menor valor entre 1,5Sfp e 1,5Snp        Se Tipo de Flange = 4, </t>
  </si>
  <si>
    <r>
      <t>Limite Tensão      Radial -S</t>
    </r>
    <r>
      <rPr>
        <vertAlign val="subscript"/>
        <sz val="6"/>
        <rFont val="Arial"/>
        <family val="2"/>
      </rPr>
      <t>R</t>
    </r>
  </si>
  <si>
    <r>
      <t>Limite Tensão Tangencial- S</t>
    </r>
    <r>
      <rPr>
        <vertAlign val="subscript"/>
        <sz val="7"/>
        <rFont val="Arial"/>
        <family val="2"/>
      </rPr>
      <t>T</t>
    </r>
  </si>
  <si>
    <r>
      <t xml:space="preserve">Conclusões quanto às tensões nas condições de </t>
    </r>
    <r>
      <rPr>
        <b/>
        <sz val="7"/>
        <rFont val="Arial"/>
        <family val="2"/>
      </rPr>
      <t>PROJETO</t>
    </r>
  </si>
  <si>
    <t>7) Cálculo das Forças, Momentos e Tensões nos flanges, nas condições de ASSENTAMENTO DA JUNTA</t>
  </si>
  <si>
    <r>
      <t>M</t>
    </r>
    <r>
      <rPr>
        <vertAlign val="subscript"/>
        <sz val="7"/>
        <rFont val="Arial"/>
        <family val="2"/>
      </rPr>
      <t>0A</t>
    </r>
  </si>
  <si>
    <t>Momento total atuante sobre o flange nas condições de assent.da junta = W1 (C'-G)/2</t>
  </si>
  <si>
    <r>
      <t>S</t>
    </r>
    <r>
      <rPr>
        <vertAlign val="subscript"/>
        <sz val="7"/>
        <rFont val="Arial"/>
        <family val="2"/>
      </rPr>
      <t>HA</t>
    </r>
  </si>
  <si>
    <r>
      <t>Tensão Longitudinal: para Flange Integral = (f*M</t>
    </r>
    <r>
      <rPr>
        <vertAlign val="subscript"/>
        <sz val="7"/>
        <rFont val="Arial"/>
        <family val="2"/>
      </rPr>
      <t>0A</t>
    </r>
    <r>
      <rPr>
        <sz val="7"/>
        <rFont val="Arial"/>
        <family val="2"/>
      </rPr>
      <t>)/(L</t>
    </r>
    <r>
      <rPr>
        <vertAlign val="subscript"/>
        <sz val="7"/>
        <rFont val="Arial"/>
        <family val="2"/>
      </rPr>
      <t>int</t>
    </r>
    <r>
      <rPr>
        <sz val="7"/>
        <rFont val="Arial"/>
        <family val="2"/>
      </rPr>
      <t>*g</t>
    </r>
    <r>
      <rPr>
        <vertAlign val="subscript"/>
        <sz val="7"/>
        <rFont val="Arial"/>
        <family val="2"/>
      </rPr>
      <t>1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B), para Flange Solto = 0</t>
    </r>
  </si>
  <si>
    <r>
      <t>S</t>
    </r>
    <r>
      <rPr>
        <vertAlign val="subscript"/>
        <sz val="7"/>
        <rFont val="Arial"/>
        <family val="2"/>
      </rPr>
      <t>RA</t>
    </r>
  </si>
  <si>
    <r>
      <t>Tensão Radial: para Flange Integral = (((1,33*t*e)+1)*M</t>
    </r>
    <r>
      <rPr>
        <vertAlign val="subscript"/>
        <sz val="7"/>
        <rFont val="Arial"/>
        <family val="2"/>
      </rPr>
      <t>0A</t>
    </r>
    <r>
      <rPr>
        <sz val="7"/>
        <rFont val="Arial"/>
        <family val="2"/>
      </rPr>
      <t>)/(L</t>
    </r>
    <r>
      <rPr>
        <vertAlign val="subscript"/>
        <sz val="7"/>
        <rFont val="Arial"/>
        <family val="2"/>
      </rPr>
      <t>int</t>
    </r>
    <r>
      <rPr>
        <sz val="7"/>
        <rFont val="Arial"/>
        <family val="2"/>
      </rPr>
      <t>*(t^2)*B), para Flange Solto = 0</t>
    </r>
  </si>
  <si>
    <r>
      <t>S</t>
    </r>
    <r>
      <rPr>
        <vertAlign val="subscript"/>
        <sz val="7"/>
        <rFont val="Arial"/>
        <family val="2"/>
      </rPr>
      <t>TA</t>
    </r>
  </si>
  <si>
    <r>
      <t>Tensão Tangencial: para Flange Integral =((Y*M</t>
    </r>
    <r>
      <rPr>
        <vertAlign val="subscript"/>
        <sz val="7"/>
        <rFont val="Arial"/>
        <family val="2"/>
      </rPr>
      <t>0A</t>
    </r>
    <r>
      <rPr>
        <sz val="7"/>
        <rFont val="Arial"/>
        <family val="2"/>
      </rPr>
      <t>)/(t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*B))-(Z*S</t>
    </r>
    <r>
      <rPr>
        <vertAlign val="subscript"/>
        <sz val="7"/>
        <rFont val="Arial"/>
        <family val="2"/>
      </rPr>
      <t>RA</t>
    </r>
    <r>
      <rPr>
        <sz val="7"/>
        <rFont val="Arial"/>
        <family val="2"/>
      </rPr>
      <t>),                                                               para Flange Solto = (Y*M</t>
    </r>
    <r>
      <rPr>
        <vertAlign val="subscript"/>
        <sz val="7"/>
        <rFont val="Arial"/>
        <family val="2"/>
      </rPr>
      <t>0A</t>
    </r>
    <r>
      <rPr>
        <sz val="7"/>
        <rFont val="Arial"/>
        <family val="2"/>
      </rPr>
      <t>)/(t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*B)</t>
    </r>
  </si>
  <si>
    <r>
      <t>(S</t>
    </r>
    <r>
      <rPr>
        <vertAlign val="subscript"/>
        <sz val="7"/>
        <rFont val="Arial"/>
        <family val="2"/>
      </rPr>
      <t>HA</t>
    </r>
    <r>
      <rPr>
        <sz val="7"/>
        <rFont val="Arial"/>
        <family val="2"/>
      </rPr>
      <t>+S</t>
    </r>
    <r>
      <rPr>
        <vertAlign val="subscript"/>
        <sz val="7"/>
        <rFont val="Arial"/>
        <family val="2"/>
      </rPr>
      <t>RA</t>
    </r>
    <r>
      <rPr>
        <sz val="7"/>
        <rFont val="Arial"/>
        <family val="2"/>
      </rPr>
      <t>) /2</t>
    </r>
  </si>
  <si>
    <t>Deve ser menor do que Sff</t>
  </si>
  <si>
    <r>
      <t>(S</t>
    </r>
    <r>
      <rPr>
        <vertAlign val="subscript"/>
        <sz val="7"/>
        <rFont val="Arial"/>
        <family val="2"/>
      </rPr>
      <t>HA</t>
    </r>
    <r>
      <rPr>
        <sz val="7"/>
        <rFont val="Arial"/>
        <family val="2"/>
      </rPr>
      <t>+S</t>
    </r>
    <r>
      <rPr>
        <vertAlign val="subscript"/>
        <sz val="7"/>
        <rFont val="Arial"/>
        <family val="2"/>
      </rPr>
      <t>TA</t>
    </r>
    <r>
      <rPr>
        <sz val="7"/>
        <rFont val="Arial"/>
        <family val="2"/>
      </rPr>
      <t>) /2</t>
    </r>
  </si>
  <si>
    <t>8) Comparações entre as tensões ocorridas nos flanges nas condições de ASSENTAMENTO DA JUNTA e as tensões admissíveis:</t>
  </si>
  <si>
    <r>
      <t xml:space="preserve">Conclusões quanto às tensões nas condições de </t>
    </r>
    <r>
      <rPr>
        <b/>
        <sz val="7"/>
        <rFont val="Arial"/>
        <family val="2"/>
      </rPr>
      <t>assentamento da junta:</t>
    </r>
  </si>
  <si>
    <t>9) Cálculo das Forças, Momentos e Tensões nos flanges, nas condições de APERTO INICIAL na tensão de 50% da tensão de escoamento:</t>
  </si>
  <si>
    <r>
      <t>S</t>
    </r>
    <r>
      <rPr>
        <vertAlign val="subscript"/>
        <sz val="7"/>
        <rFont val="Arial"/>
        <family val="2"/>
      </rPr>
      <t>Y</t>
    </r>
  </si>
  <si>
    <t>Tensão de escoamento a frio dos parafusos</t>
  </si>
  <si>
    <r>
      <t>S</t>
    </r>
    <r>
      <rPr>
        <vertAlign val="subscript"/>
        <sz val="8"/>
        <rFont val="Arial"/>
        <family val="2"/>
      </rPr>
      <t>y50%</t>
    </r>
  </si>
  <si>
    <t>50% da Tensão de escoamento dos parafusos = Sy x 0,5</t>
  </si>
  <si>
    <r>
      <t>F</t>
    </r>
    <r>
      <rPr>
        <vertAlign val="subscript"/>
        <sz val="8"/>
        <rFont val="Arial"/>
        <family val="2"/>
      </rPr>
      <t>y50%</t>
    </r>
  </si>
  <si>
    <r>
      <t>Força de aperto dos parafusos: S</t>
    </r>
    <r>
      <rPr>
        <vertAlign val="subscript"/>
        <sz val="8"/>
        <rFont val="Arial"/>
        <family val="2"/>
      </rPr>
      <t xml:space="preserve">y50% </t>
    </r>
    <r>
      <rPr>
        <sz val="8"/>
        <rFont val="Arial"/>
        <family val="2"/>
      </rPr>
      <t xml:space="preserve">x </t>
    </r>
    <r>
      <rPr>
        <sz val="7"/>
        <rFont val="Arial"/>
        <family val="2"/>
      </rPr>
      <t>A.Real</t>
    </r>
    <r>
      <rPr>
        <sz val="8"/>
        <rFont val="Arial"/>
        <family val="2"/>
      </rPr>
      <t xml:space="preserve"> x </t>
    </r>
    <r>
      <rPr>
        <sz val="7"/>
        <rFont val="Arial"/>
        <family val="2"/>
      </rPr>
      <t>Np</t>
    </r>
  </si>
  <si>
    <r>
      <t>M</t>
    </r>
    <r>
      <rPr>
        <vertAlign val="subscript"/>
        <sz val="7"/>
        <rFont val="Arial"/>
        <family val="2"/>
      </rPr>
      <t>0I</t>
    </r>
  </si>
  <si>
    <r>
      <t>Momento total atuante sobre o flange nas condições de aperto inicial = F</t>
    </r>
    <r>
      <rPr>
        <vertAlign val="subscript"/>
        <sz val="7"/>
        <rFont val="Arial"/>
        <family val="2"/>
      </rPr>
      <t>y50%</t>
    </r>
    <r>
      <rPr>
        <sz val="7"/>
        <rFont val="Arial"/>
        <family val="2"/>
      </rPr>
      <t xml:space="preserve"> (C'-G)/2</t>
    </r>
  </si>
  <si>
    <r>
      <t>S</t>
    </r>
    <r>
      <rPr>
        <vertAlign val="subscript"/>
        <sz val="7"/>
        <rFont val="Arial"/>
        <family val="2"/>
      </rPr>
      <t>HI</t>
    </r>
  </si>
  <si>
    <r>
      <t>Tensão Longitudinal: para Flange Integral = (f*M</t>
    </r>
    <r>
      <rPr>
        <vertAlign val="subscript"/>
        <sz val="7"/>
        <rFont val="Arial"/>
        <family val="2"/>
      </rPr>
      <t>0I</t>
    </r>
    <r>
      <rPr>
        <sz val="7"/>
        <rFont val="Arial"/>
        <family val="2"/>
      </rPr>
      <t>)/(L</t>
    </r>
    <r>
      <rPr>
        <vertAlign val="subscript"/>
        <sz val="7"/>
        <rFont val="Arial"/>
        <family val="2"/>
      </rPr>
      <t>int</t>
    </r>
    <r>
      <rPr>
        <sz val="7"/>
        <rFont val="Arial"/>
        <family val="2"/>
      </rPr>
      <t>*g</t>
    </r>
    <r>
      <rPr>
        <vertAlign val="subscript"/>
        <sz val="7"/>
        <rFont val="Arial"/>
        <family val="2"/>
      </rPr>
      <t>1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B), para Flange Solto = 0</t>
    </r>
  </si>
  <si>
    <r>
      <t>S</t>
    </r>
    <r>
      <rPr>
        <vertAlign val="subscript"/>
        <sz val="7"/>
        <rFont val="Arial"/>
        <family val="2"/>
      </rPr>
      <t>RI</t>
    </r>
  </si>
  <si>
    <r>
      <t>Tensão Radial: para Flange Integral = (((1,33*t*e)+1)*M</t>
    </r>
    <r>
      <rPr>
        <vertAlign val="subscript"/>
        <sz val="7"/>
        <rFont val="Arial"/>
        <family val="2"/>
      </rPr>
      <t>0I</t>
    </r>
    <r>
      <rPr>
        <sz val="7"/>
        <rFont val="Arial"/>
        <family val="2"/>
      </rPr>
      <t>)/(L</t>
    </r>
    <r>
      <rPr>
        <vertAlign val="subscript"/>
        <sz val="7"/>
        <rFont val="Arial"/>
        <family val="2"/>
      </rPr>
      <t>int</t>
    </r>
    <r>
      <rPr>
        <sz val="7"/>
        <rFont val="Arial"/>
        <family val="2"/>
      </rPr>
      <t>*(t^2)*B), para Flange Solto = 0</t>
    </r>
  </si>
  <si>
    <r>
      <t>S</t>
    </r>
    <r>
      <rPr>
        <vertAlign val="subscript"/>
        <sz val="7"/>
        <rFont val="Arial"/>
        <family val="2"/>
      </rPr>
      <t>TI</t>
    </r>
  </si>
  <si>
    <r>
      <t>Tensão Tangencial: para Flange Integral =((Y*M</t>
    </r>
    <r>
      <rPr>
        <vertAlign val="subscript"/>
        <sz val="7"/>
        <rFont val="Arial"/>
        <family val="2"/>
      </rPr>
      <t>0I</t>
    </r>
    <r>
      <rPr>
        <sz val="7"/>
        <rFont val="Arial"/>
        <family val="2"/>
      </rPr>
      <t>)/(t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*B))-(Z*S</t>
    </r>
    <r>
      <rPr>
        <vertAlign val="subscript"/>
        <sz val="7"/>
        <rFont val="Arial"/>
        <family val="2"/>
      </rPr>
      <t>RI</t>
    </r>
    <r>
      <rPr>
        <sz val="7"/>
        <rFont val="Arial"/>
        <family val="2"/>
      </rPr>
      <t>),                                                                                                    para Flange Solto = (Y*M</t>
    </r>
    <r>
      <rPr>
        <vertAlign val="subscript"/>
        <sz val="7"/>
        <rFont val="Arial"/>
        <family val="2"/>
      </rPr>
      <t>0I</t>
    </r>
    <r>
      <rPr>
        <sz val="7"/>
        <rFont val="Arial"/>
        <family val="2"/>
      </rPr>
      <t>)/(t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*B)</t>
    </r>
  </si>
  <si>
    <r>
      <t>(S</t>
    </r>
    <r>
      <rPr>
        <vertAlign val="subscript"/>
        <sz val="7"/>
        <rFont val="Arial"/>
        <family val="2"/>
      </rPr>
      <t>HI</t>
    </r>
    <r>
      <rPr>
        <sz val="7"/>
        <rFont val="Arial"/>
        <family val="2"/>
      </rPr>
      <t>+S</t>
    </r>
    <r>
      <rPr>
        <vertAlign val="subscript"/>
        <sz val="7"/>
        <rFont val="Arial"/>
        <family val="2"/>
      </rPr>
      <t>RI</t>
    </r>
    <r>
      <rPr>
        <sz val="7"/>
        <rFont val="Arial"/>
        <family val="2"/>
      </rPr>
      <t>) /2</t>
    </r>
  </si>
  <si>
    <r>
      <t>(S</t>
    </r>
    <r>
      <rPr>
        <vertAlign val="subscript"/>
        <sz val="7"/>
        <rFont val="Arial"/>
        <family val="2"/>
      </rPr>
      <t>HI</t>
    </r>
    <r>
      <rPr>
        <sz val="7"/>
        <rFont val="Arial"/>
        <family val="2"/>
      </rPr>
      <t>+S</t>
    </r>
    <r>
      <rPr>
        <vertAlign val="subscript"/>
        <sz val="7"/>
        <rFont val="Arial"/>
        <family val="2"/>
      </rPr>
      <t>TI</t>
    </r>
    <r>
      <rPr>
        <sz val="7"/>
        <rFont val="Arial"/>
        <family val="2"/>
      </rPr>
      <t>) /2</t>
    </r>
  </si>
  <si>
    <t>10) Comparações entre as tensões ocorridas nos flanges nas condições de APERTO INICIAL e as tensões admissíveis:</t>
  </si>
  <si>
    <r>
      <t xml:space="preserve">Conclusões quanto às tensões nas condições de </t>
    </r>
    <r>
      <rPr>
        <b/>
        <sz val="7"/>
        <rFont val="Arial"/>
        <family val="2"/>
      </rPr>
      <t>APERTO INICIAL:</t>
    </r>
  </si>
  <si>
    <t>11) Verificação da Rigidez dos Flanges:</t>
  </si>
  <si>
    <t xml:space="preserve">       a) Flange Integral e Flange Opcional projetado como Integral</t>
  </si>
  <si>
    <t xml:space="preserve">       b) Flange Solto com Cubo</t>
  </si>
  <si>
    <t xml:space="preserve">       c) Flange Solto sem Cubo e Flange Opcional Projetado como Solto</t>
  </si>
  <si>
    <t>TIPO</t>
  </si>
  <si>
    <t>Escolher o código de Flange conforme acima: (a, b ou c)</t>
  </si>
  <si>
    <t xml:space="preserve">   Nas Condições de PROJETO</t>
  </si>
  <si>
    <t>in.lb</t>
  </si>
  <si>
    <t>Momento total atuante sobre os flanges nas condições de PROJETO</t>
  </si>
  <si>
    <r>
      <t>J</t>
    </r>
    <r>
      <rPr>
        <vertAlign val="subscript"/>
        <sz val="7"/>
        <rFont val="Arial"/>
        <family val="2"/>
      </rPr>
      <t>int</t>
    </r>
  </si>
  <si>
    <t>adim</t>
  </si>
  <si>
    <r>
      <t>Índice de Rigidez de Flange Integral e Flange Opcional projetado como Integral = (52,14*M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*V)/(L</t>
    </r>
    <r>
      <rPr>
        <vertAlign val="subscript"/>
        <sz val="7"/>
        <rFont val="Arial"/>
        <family val="2"/>
      </rPr>
      <t>int</t>
    </r>
    <r>
      <rPr>
        <sz val="7"/>
        <rFont val="Arial"/>
        <family val="2"/>
      </rPr>
      <t>*E*(g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^2)*h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*0,3)</t>
    </r>
  </si>
  <si>
    <r>
      <t>J</t>
    </r>
    <r>
      <rPr>
        <vertAlign val="subscript"/>
        <sz val="7"/>
        <rFont val="Arial"/>
        <family val="2"/>
      </rPr>
      <t>lo+hub</t>
    </r>
  </si>
  <si>
    <r>
      <t>Índice de Rigidez de Flange Solto com cubo = (52,14*M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*V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>)/(L</t>
    </r>
    <r>
      <rPr>
        <vertAlign val="subscript"/>
        <sz val="7"/>
        <rFont val="Arial"/>
        <family val="2"/>
      </rPr>
      <t>loose</t>
    </r>
    <r>
      <rPr>
        <sz val="7"/>
        <rFont val="Arial"/>
        <family val="2"/>
      </rPr>
      <t>*E*(g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^2)*h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*0,2)</t>
    </r>
  </si>
  <si>
    <r>
      <t>J</t>
    </r>
    <r>
      <rPr>
        <vertAlign val="subscript"/>
        <sz val="7"/>
        <rFont val="Arial"/>
        <family val="2"/>
      </rPr>
      <t>lo-hub</t>
    </r>
  </si>
  <si>
    <r>
      <t>Índice de Rigidez de Flange Solto sem Cubo e Flange Opcional Projetado como Solto = (109,4*M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)/(E*(t^3)*(ln(K))*0,2)</t>
    </r>
  </si>
  <si>
    <t>J</t>
  </si>
  <si>
    <t>Fator de Rigidez dos Flanges nas Condições de PROJETO</t>
  </si>
  <si>
    <r>
      <t>J</t>
    </r>
    <r>
      <rPr>
        <vertAlign val="subscript"/>
        <sz val="7"/>
        <rFont val="Arial"/>
        <family val="2"/>
      </rPr>
      <t xml:space="preserve"> </t>
    </r>
    <r>
      <rPr>
        <sz val="7"/>
        <rFont val="Arial"/>
        <family val="2"/>
      </rPr>
      <t>&lt; 1</t>
    </r>
    <r>
      <rPr>
        <vertAlign val="subscript"/>
        <sz val="7"/>
        <rFont val="Arial"/>
        <family val="2"/>
      </rPr>
      <t xml:space="preserve"> </t>
    </r>
    <r>
      <rPr>
        <sz val="7"/>
        <rFont val="Arial"/>
        <family val="2"/>
      </rPr>
      <t>?</t>
    </r>
  </si>
  <si>
    <t xml:space="preserve">   Nas Condições de ASSENTAMENTO DA JUNTA</t>
  </si>
  <si>
    <t>Momento total atuante sobre os flanges nas condições de ASSENTAMENTO DA JUNTA</t>
  </si>
  <si>
    <t>Fator de Rigidez dos Flanges nas Condições ASSENTAMENTO DA JUNTA</t>
  </si>
  <si>
    <t xml:space="preserve">   Nas Condições de APERTO INICIAL</t>
  </si>
  <si>
    <t>Momento total atuante sobre os flanges nas condições de APERTO INICIAL</t>
  </si>
  <si>
    <t>Fator de Rigidez dos Flanges nas Condições de APERTO INICIAL</t>
  </si>
  <si>
    <r>
      <t>Cálculo dos Fatores V, V</t>
    </r>
    <r>
      <rPr>
        <b/>
        <vertAlign val="subscript"/>
        <sz val="8"/>
        <rFont val="Arial"/>
        <family val="2"/>
      </rPr>
      <t>L</t>
    </r>
    <r>
      <rPr>
        <b/>
        <sz val="8"/>
        <rFont val="Arial"/>
        <family val="2"/>
      </rPr>
      <t>, f, F, F</t>
    </r>
    <r>
      <rPr>
        <b/>
        <vertAlign val="subscript"/>
        <sz val="8"/>
        <rFont val="Arial"/>
        <family val="2"/>
      </rPr>
      <t>L</t>
    </r>
    <r>
      <rPr>
        <b/>
        <sz val="8"/>
        <rFont val="Arial"/>
        <family val="2"/>
      </rPr>
      <t>, K, T, U, Y, Z e J</t>
    </r>
  </si>
  <si>
    <r>
      <t>Fator = √B*g</t>
    </r>
    <r>
      <rPr>
        <vertAlign val="subscript"/>
        <sz val="7"/>
        <rFont val="Arial"/>
        <family val="2"/>
      </rPr>
      <t>0</t>
    </r>
  </si>
  <si>
    <t>A</t>
  </si>
  <si>
    <r>
      <t>(g</t>
    </r>
    <r>
      <rPr>
        <vertAlign val="subscript"/>
        <sz val="7"/>
        <rFont val="Arial"/>
        <family val="2"/>
      </rPr>
      <t>1</t>
    </r>
    <r>
      <rPr>
        <sz val="7"/>
        <rFont val="Arial"/>
        <family val="2"/>
      </rPr>
      <t xml:space="preserve"> / g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) - 1</t>
    </r>
  </si>
  <si>
    <r>
      <t>g</t>
    </r>
    <r>
      <rPr>
        <vertAlign val="subscript"/>
        <sz val="7"/>
        <rFont val="Arial"/>
        <family val="2"/>
      </rPr>
      <t>1</t>
    </r>
    <r>
      <rPr>
        <sz val="7"/>
        <rFont val="Arial"/>
        <family val="2"/>
      </rPr>
      <t>/g</t>
    </r>
    <r>
      <rPr>
        <vertAlign val="subscript"/>
        <sz val="7"/>
        <rFont val="Arial"/>
        <family val="2"/>
      </rPr>
      <t>0</t>
    </r>
  </si>
  <si>
    <r>
      <t>h/h</t>
    </r>
    <r>
      <rPr>
        <vertAlign val="subscript"/>
        <sz val="7"/>
        <rFont val="Arial"/>
        <family val="2"/>
      </rPr>
      <t>0</t>
    </r>
  </si>
  <si>
    <t>C</t>
  </si>
  <si>
    <r>
      <t>43,68 *( (h/h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)^4)</t>
    </r>
  </si>
  <si>
    <t>C1</t>
  </si>
  <si>
    <t>1/3 + (A/12)</t>
  </si>
  <si>
    <t>C2</t>
  </si>
  <si>
    <t>(5/42) + (17*A/336)</t>
  </si>
  <si>
    <t>C3</t>
  </si>
  <si>
    <t>(1/210) + (A/360)</t>
  </si>
  <si>
    <t>C4</t>
  </si>
  <si>
    <t>(11/360)+(59*A/5040)+(1+3*A)/C</t>
  </si>
  <si>
    <t>C5</t>
  </si>
  <si>
    <r>
      <t>(1/90)+(5*A/1008)-(1+A)^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/C</t>
    </r>
  </si>
  <si>
    <t>C6</t>
  </si>
  <si>
    <t>(1/120)+(17*A/5040)+(1/C)</t>
  </si>
  <si>
    <t>C7</t>
  </si>
  <si>
    <t>(215/2772)+(51*A/1232)+((60/7)+(225*A/14)+(75*A^2/7)+(5*A^3/2))/C</t>
  </si>
  <si>
    <t>C8</t>
  </si>
  <si>
    <t>(31/6930)+(128*A/45045)+((6/7+15*A/7)+((12A^2)/7)+((5*A^3)/11))/C</t>
  </si>
  <si>
    <t>C9</t>
  </si>
  <si>
    <t>(533/30240)+(653*A/73920)+((1/2)+(33*A/14)+(39*A^2/28)+(25*A^3/84))/C</t>
  </si>
  <si>
    <t>C10</t>
  </si>
  <si>
    <t>(29/3780)+(3*A/704)-((1/2+33*A/14)+(81*A^2/28)+(13*A^3/12))/C</t>
  </si>
  <si>
    <t>C11</t>
  </si>
  <si>
    <t>(31/6048)+(1763*A/665280)+((1/2)+(6*A/7)+(15*A^2/28)+(5*A^3/42))/C</t>
  </si>
  <si>
    <t>C12</t>
  </si>
  <si>
    <t>(1/2925)+(71*A/300300)+((8/35)+(18*A/35)+(156*A^2/385)+(6*A^3/55))/C</t>
  </si>
  <si>
    <t>C13</t>
  </si>
  <si>
    <t>(761/831600)+(937*A/1663200)+((1/35)+(6*A/35)+(11*A^2/70)+(3*A^3/70))/C</t>
  </si>
  <si>
    <t>C14</t>
  </si>
  <si>
    <t>(197/415800)+103*A/332640)-((1/35)+(6*A/35)+(17*A^2/70)+(A^3/10))/C</t>
  </si>
  <si>
    <t>C15</t>
  </si>
  <si>
    <t>(233/831600)+(97*A/554400)+((1/35)+(3*A/35)+(A^2/14)+(2*A^3/105))/C</t>
  </si>
  <si>
    <t>C16</t>
  </si>
  <si>
    <t>(C1*C7*C12)+(C2*C8*C3)+(C3*C8*C2)-(((C3^2)*C7)+((C8^2)*C1)+((C2^2)*C12))</t>
  </si>
  <si>
    <t>C17</t>
  </si>
  <si>
    <t>((C4*C7*C12)+(C2*C8*C13)+(C3*C8*C9)-((C13*C7*C3)+(C8^2*C4)+(C12*C2*C9)))/C16</t>
  </si>
  <si>
    <t>C18</t>
  </si>
  <si>
    <t>((C5*C7*C12)+(C2*C8*C14)+(C3*C8*C10)-((C14*C7*C3)+(C8^2*C5)+(C12*C2*C10)))/C16</t>
  </si>
  <si>
    <t>C19</t>
  </si>
  <si>
    <t>((C6*C7*C12)+(C2*C8*C15)+(C3*C8*C11)-((C15*C7*C3)+(C8^2*C6)+(C12*C2*C11)))/C16</t>
  </si>
  <si>
    <t>C20</t>
  </si>
  <si>
    <t>((C1*C9*C12)+(C4*C8*C3)+(C3*C13*C2)-((C3^2*C9)+(C13*C8*C1)+(C12*C4*C2)))/C16</t>
  </si>
  <si>
    <t>C21</t>
  </si>
  <si>
    <t>((C1*C10*C12)+(C5*C8*C3)+(C3*C14*C2)-((C3^2*C10)+(C14*C8*C1)+(C12*C5*C2)))/C16</t>
  </si>
  <si>
    <t>C22</t>
  </si>
  <si>
    <t>((C1*C11*C12)+(C6*C8*C3)+(C3*C15*C2)-((C3^2*C11)+(C15*C8*C1)+(C12*C6*C2)))/C16</t>
  </si>
  <si>
    <t>C23</t>
  </si>
  <si>
    <t>((C1*C7*C13)+(C2*C9*C3)+(C4*C8*C2)-((C3*C7*C4)+(C8*C9*C1)+(C2^2*C13)))/C16</t>
  </si>
  <si>
    <t>C24</t>
  </si>
  <si>
    <t>((C1*C7*C14)+(C2*C10*C3)+(C5*C8*C2)-((C3*C7*C5)+(C8*C10*C1)+(C2^2*C14)))/C16</t>
  </si>
  <si>
    <t>C25</t>
  </si>
  <si>
    <t>((C1*C7*C15)+(C2*C11*C3)+(C6*C8*C2)-((C3*C7*C6)+(C8*C11*C1)+(C2^2*C15)))/C16</t>
  </si>
  <si>
    <t>C26</t>
  </si>
  <si>
    <t xml:space="preserve"> -(C/4)^0,25</t>
  </si>
  <si>
    <t>C27</t>
  </si>
  <si>
    <t>C20-C17-(5/12)+(C17*C26)</t>
  </si>
  <si>
    <t>C28</t>
  </si>
  <si>
    <t>C22-C19-(1/12)+(C19*C26)</t>
  </si>
  <si>
    <t>C29</t>
  </si>
  <si>
    <t xml:space="preserve"> -(C/4)^0,5</t>
  </si>
  <si>
    <t>C30</t>
  </si>
  <si>
    <t xml:space="preserve"> -(C/4)^(3/4)</t>
  </si>
  <si>
    <t>C31</t>
  </si>
  <si>
    <t>(3*A/2)-(C17*C30)</t>
  </si>
  <si>
    <t>C32</t>
  </si>
  <si>
    <t>0,5-(C19*C30)</t>
  </si>
  <si>
    <t>C33</t>
  </si>
  <si>
    <t>(0,5*C26*C32)+(C28*C31*C29)-((0,5*C30*C28)+(C32*C27*C29))</t>
  </si>
  <si>
    <t>C34</t>
  </si>
  <si>
    <t>1/12+C18-C21-(C18*C26)</t>
  </si>
  <si>
    <t>C35</t>
  </si>
  <si>
    <t xml:space="preserve"> -C18*(C/4)^0,75</t>
  </si>
  <si>
    <t>C36</t>
  </si>
  <si>
    <t>((C28*C35*C29)-(C32*C34*C29))/C33</t>
  </si>
  <si>
    <t>C37</t>
  </si>
  <si>
    <t>((0,5*C26*C35)+(C34*C31*C29)-(0,5*C30*C34)+(C35*C27*C29))/C33</t>
  </si>
  <si>
    <t>E1</t>
  </si>
  <si>
    <t>(C17*C36)+C18+(C19*C37)</t>
  </si>
  <si>
    <t>E2</t>
  </si>
  <si>
    <t>(C20*C36)+C21+(C22*C37)</t>
  </si>
  <si>
    <t>E3</t>
  </si>
  <si>
    <t>(C23*C36)+C24+(C25*C37)</t>
  </si>
  <si>
    <t>E4</t>
  </si>
  <si>
    <t>0,25+(C37/12)+(C36/4)-(E3/5)-(3*E2/2)-E1</t>
  </si>
  <si>
    <t>E5</t>
  </si>
  <si>
    <t>E1*(0,5+A/6)+(E2*(0,25+(11*A/84)))+(E3*((1/70)+(A/105)))</t>
  </si>
  <si>
    <t>E6</t>
  </si>
  <si>
    <t>E5-(C36*((7/120)+(A/36)+(3*A/C)))-(1/40)-(A/72)-(C37*((1/60)+(A/120)+(1/C)))</t>
  </si>
  <si>
    <t>V</t>
  </si>
  <si>
    <t>E4/(((2,73/C)^0,25)*(1+A)^3))</t>
  </si>
  <si>
    <t>F</t>
  </si>
  <si>
    <t xml:space="preserve"> -1*E6/(((C/2,73)^0,25)*(((1+A)^3)/C))</t>
  </si>
  <si>
    <r>
      <t>F</t>
    </r>
    <r>
      <rPr>
        <vertAlign val="subscript"/>
        <sz val="7"/>
        <rFont val="Arial"/>
        <family val="2"/>
      </rPr>
      <t>L</t>
    </r>
  </si>
  <si>
    <t xml:space="preserve"> -(1)*((((C18*(0,5+(A/6)))+(C21*(0,25+(11*A/84)))+(C24*((1/70)+(A/105)))-((1/40)+(A/72)))/(((C/2,73)^0,25)*(((1+A)^3)/C))</t>
  </si>
  <si>
    <r>
      <t>V</t>
    </r>
    <r>
      <rPr>
        <vertAlign val="subscript"/>
        <sz val="7"/>
        <rFont val="Arial"/>
        <family val="2"/>
      </rPr>
      <t>L</t>
    </r>
  </si>
  <si>
    <t>(0,25-(C24/5)-(3*C21/2)-C18)/(((2,73/C)^0,25)*((1+A)^3))</t>
  </si>
  <si>
    <t>f</t>
  </si>
  <si>
    <t>Se C36/(1+A) for menor que 1, f=1; caso contrário, f=C36/(1+A)</t>
  </si>
  <si>
    <t>((K^2)*(1+8,55246*(LOG K))-1)/(((1,04720+(1,9448*(K^2)))*(K-1)</t>
  </si>
  <si>
    <t>K</t>
  </si>
  <si>
    <t>A' / B</t>
  </si>
  <si>
    <t>U</t>
  </si>
  <si>
    <t>((K^2)*(1+8,55246*(LOG K))-1)/((1,36136*((K^2)-1)*(K-1))</t>
  </si>
  <si>
    <t>Y</t>
  </si>
  <si>
    <r>
      <t xml:space="preserve">(1/(K-1))*(0,66845+(5,71690*(K^2)*(log </t>
    </r>
    <r>
      <rPr>
        <vertAlign val="subscript"/>
        <sz val="7"/>
        <rFont val="Arial"/>
        <family val="2"/>
      </rPr>
      <t>10</t>
    </r>
    <r>
      <rPr>
        <sz val="7"/>
        <rFont val="Arial"/>
        <family val="2"/>
      </rPr>
      <t>K)/((K^2)-1)))</t>
    </r>
  </si>
  <si>
    <t>Z</t>
  </si>
  <si>
    <t>((K^2)+1)/((K^2)-1)</t>
  </si>
  <si>
    <r>
      <t>e</t>
    </r>
    <r>
      <rPr>
        <vertAlign val="subscript"/>
        <sz val="7"/>
        <rFont val="Arial"/>
        <family val="2"/>
      </rPr>
      <t>int</t>
    </r>
  </si>
  <si>
    <r>
      <t>F/h</t>
    </r>
    <r>
      <rPr>
        <vertAlign val="subscript"/>
        <sz val="7"/>
        <rFont val="Arial"/>
        <family val="2"/>
      </rPr>
      <t>0</t>
    </r>
  </si>
  <si>
    <r>
      <t>e</t>
    </r>
    <r>
      <rPr>
        <vertAlign val="subscript"/>
        <sz val="7"/>
        <rFont val="Arial"/>
        <family val="2"/>
      </rPr>
      <t>loose</t>
    </r>
  </si>
  <si>
    <r>
      <t>F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>/h</t>
    </r>
    <r>
      <rPr>
        <vertAlign val="subscript"/>
        <sz val="7"/>
        <rFont val="Arial"/>
        <family val="2"/>
      </rPr>
      <t>0</t>
    </r>
  </si>
  <si>
    <r>
      <t>d</t>
    </r>
    <r>
      <rPr>
        <vertAlign val="subscript"/>
        <sz val="7"/>
        <rFont val="Arial"/>
        <family val="2"/>
      </rPr>
      <t>int</t>
    </r>
  </si>
  <si>
    <r>
      <t>in</t>
    </r>
    <r>
      <rPr>
        <vertAlign val="superscript"/>
        <sz val="7"/>
        <rFont val="Arial"/>
        <family val="2"/>
      </rPr>
      <t>3</t>
    </r>
  </si>
  <si>
    <r>
      <t>mm</t>
    </r>
    <r>
      <rPr>
        <vertAlign val="superscript"/>
        <sz val="7"/>
        <rFont val="Arial"/>
        <family val="2"/>
      </rPr>
      <t>3</t>
    </r>
  </si>
  <si>
    <r>
      <t>(U/V)*h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*g</t>
    </r>
    <r>
      <rPr>
        <vertAlign val="subscript"/>
        <sz val="7"/>
        <rFont val="Arial"/>
        <family val="2"/>
      </rPr>
      <t>0</t>
    </r>
    <r>
      <rPr>
        <vertAlign val="superscript"/>
        <sz val="7"/>
        <rFont val="Arial"/>
        <family val="2"/>
      </rPr>
      <t>2</t>
    </r>
  </si>
  <si>
    <r>
      <t>d</t>
    </r>
    <r>
      <rPr>
        <vertAlign val="subscript"/>
        <sz val="7"/>
        <rFont val="Arial"/>
        <family val="2"/>
      </rPr>
      <t>loose</t>
    </r>
  </si>
  <si>
    <r>
      <t>(U/V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>)*h</t>
    </r>
    <r>
      <rPr>
        <vertAlign val="subscript"/>
        <sz val="7"/>
        <rFont val="Arial"/>
        <family val="2"/>
      </rPr>
      <t>0</t>
    </r>
    <r>
      <rPr>
        <sz val="7"/>
        <rFont val="Arial"/>
        <family val="2"/>
      </rPr>
      <t>*g</t>
    </r>
    <r>
      <rPr>
        <vertAlign val="subscript"/>
        <sz val="7"/>
        <rFont val="Arial"/>
        <family val="2"/>
      </rPr>
      <t>0</t>
    </r>
    <r>
      <rPr>
        <vertAlign val="superscript"/>
        <sz val="7"/>
        <rFont val="Arial"/>
        <family val="2"/>
      </rPr>
      <t>2</t>
    </r>
  </si>
  <si>
    <r>
      <t>L</t>
    </r>
    <r>
      <rPr>
        <vertAlign val="subscript"/>
        <sz val="7"/>
        <rFont val="Arial"/>
        <family val="2"/>
      </rPr>
      <t>int</t>
    </r>
  </si>
  <si>
    <r>
      <t>((t*e</t>
    </r>
    <r>
      <rPr>
        <vertAlign val="subscript"/>
        <sz val="7"/>
        <rFont val="Arial"/>
        <family val="2"/>
      </rPr>
      <t>int</t>
    </r>
    <r>
      <rPr>
        <sz val="7"/>
        <rFont val="Arial"/>
        <family val="2"/>
      </rPr>
      <t>)+1)/T)+((t^3)/d</t>
    </r>
    <r>
      <rPr>
        <vertAlign val="subscript"/>
        <sz val="7"/>
        <rFont val="Arial"/>
        <family val="2"/>
      </rPr>
      <t>int</t>
    </r>
    <r>
      <rPr>
        <sz val="7"/>
        <rFont val="Arial"/>
        <family val="2"/>
      </rPr>
      <t>)</t>
    </r>
  </si>
  <si>
    <r>
      <t>L</t>
    </r>
    <r>
      <rPr>
        <vertAlign val="subscript"/>
        <sz val="7"/>
        <rFont val="Arial"/>
        <family val="2"/>
      </rPr>
      <t>loose</t>
    </r>
  </si>
  <si>
    <r>
      <t>((t*e</t>
    </r>
    <r>
      <rPr>
        <vertAlign val="subscript"/>
        <sz val="7"/>
        <rFont val="Arial"/>
        <family val="2"/>
      </rPr>
      <t>loose</t>
    </r>
    <r>
      <rPr>
        <sz val="7"/>
        <rFont val="Arial"/>
        <family val="2"/>
      </rPr>
      <t>)+1)/T)+((t^3)/d</t>
    </r>
    <r>
      <rPr>
        <vertAlign val="subscript"/>
        <sz val="7"/>
        <rFont val="Arial"/>
        <family val="2"/>
      </rPr>
      <t>loose</t>
    </r>
    <r>
      <rPr>
        <sz val="7"/>
        <rFont val="Arial"/>
        <family val="2"/>
      </rPr>
      <t>)</t>
    </r>
  </si>
  <si>
    <r>
      <t>Largura de assentamento efetiva da junta conforme tabela 2-5-2 - Appendix 2: b=b</t>
    </r>
    <r>
      <rPr>
        <vertAlign val="subscript"/>
        <sz val="6"/>
        <rFont val="Arial"/>
        <family val="2"/>
      </rPr>
      <t>0</t>
    </r>
    <r>
      <rPr>
        <sz val="6"/>
        <rFont val="Arial"/>
        <family val="2"/>
      </rPr>
      <t xml:space="preserve"> se b</t>
    </r>
    <r>
      <rPr>
        <vertAlign val="subscript"/>
        <sz val="6"/>
        <rFont val="Arial"/>
        <family val="2"/>
      </rPr>
      <t>0</t>
    </r>
    <r>
      <rPr>
        <sz val="6"/>
        <rFont val="Arial"/>
        <family val="2"/>
      </rPr>
      <t xml:space="preserve"> ≤ 1/4in ou b = 0,5√b</t>
    </r>
    <r>
      <rPr>
        <vertAlign val="subscript"/>
        <sz val="6"/>
        <rFont val="Arial"/>
        <family val="2"/>
      </rPr>
      <t>0</t>
    </r>
    <r>
      <rPr>
        <sz val="6"/>
        <rFont val="Arial"/>
        <family val="2"/>
      </rPr>
      <t xml:space="preserve"> se b</t>
    </r>
    <r>
      <rPr>
        <vertAlign val="subscript"/>
        <sz val="6"/>
        <rFont val="Arial"/>
        <family val="2"/>
      </rPr>
      <t>0</t>
    </r>
    <r>
      <rPr>
        <sz val="6"/>
        <rFont val="Arial"/>
        <family val="2"/>
      </rPr>
      <t xml:space="preserve"> &gt; 1/4in</t>
    </r>
  </si>
  <si>
    <t>Wm1 (para as condições de PROJETO)</t>
  </si>
  <si>
    <r>
      <t xml:space="preserve">Verificação:  Am </t>
    </r>
    <r>
      <rPr>
        <sz val="7"/>
        <rFont val="Arial"/>
        <family val="0"/>
      </rPr>
      <t>≤</t>
    </r>
    <r>
      <rPr>
        <sz val="8.75"/>
        <rFont val="Arial"/>
        <family val="2"/>
      </rPr>
      <t xml:space="preserve"> Ab</t>
    </r>
  </si>
  <si>
    <t>dpo</t>
  </si>
  <si>
    <t>Diâmetro dos parafusos</t>
  </si>
  <si>
    <r>
      <t xml:space="preserve"> Definição do tipo de flange para efeito de Cálculo de Rigidez dos Flanges conforme ASME Div.1, Seç.VIII, </t>
    </r>
    <r>
      <rPr>
        <sz val="7"/>
        <color indexed="10"/>
        <rFont val="Arial"/>
        <family val="2"/>
      </rPr>
      <t>Apêndice S (Não Mandatório)</t>
    </r>
  </si>
  <si>
    <t>Junta lip seal (m=0 e y=0 psi) da tabela 2-5.1 do ASME VIII-1 ap-2</t>
  </si>
  <si>
    <t>Flanges da PDV-27C</t>
  </si>
  <si>
    <t xml:space="preserve">Espiralada l (m=3,0 e y=10.000 psi) da tabela 2-5.1 do ASME VIII-1 ap-2 </t>
  </si>
  <si>
    <t>Espiralada (m=3,0 e y=10.000 psi) da tabela 2-5.1 do ASME VIII-1 ap-2 (69)</t>
  </si>
  <si>
    <t>Tipo de junta</t>
  </si>
  <si>
    <t>lip seal (SS304)</t>
  </si>
  <si>
    <t>Carga mín. nos estojos (kgf)</t>
  </si>
  <si>
    <t>Carga máx. nos estojos (kgf)</t>
  </si>
  <si>
    <t>Tensão máxima nos estojos (kgf)</t>
  </si>
  <si>
    <t>Tensão mínima nos estojos (psi)</t>
  </si>
  <si>
    <t>Torque mínimo (N.m)  [t=0,2.dp.Wm/1000)</t>
  </si>
  <si>
    <t>espiralada</t>
  </si>
  <si>
    <t xml:space="preserve">COMPROFILE (m=4,0 e y=4.500 psi) </t>
  </si>
  <si>
    <t>1A</t>
  </si>
  <si>
    <t>1B</t>
  </si>
  <si>
    <t>1C</t>
  </si>
  <si>
    <t>comprofile</t>
  </si>
  <si>
    <t>3A</t>
  </si>
  <si>
    <t>3B</t>
  </si>
  <si>
    <t>SMALL BY-PASS</t>
  </si>
  <si>
    <t>PDV 27VC</t>
  </si>
  <si>
    <t>CASO DE ANÁLISE 1: FLANGES SEM ISOLAMENTO TÉRMICO</t>
  </si>
  <si>
    <t xml:space="preserve">Flanges da PDV-27A </t>
  </si>
  <si>
    <t>SA-193 Gr. B8Cl.1 (temp. máxima = 1500°F) - Diâmetro 2",  Tproj=380°C (716 °F)</t>
  </si>
  <si>
    <t>SA-193 Gr. B8M Cl.1 (temp. máxima = 1500°F) - Diâmetro 2",  Tproj=380°C (716 °F)</t>
  </si>
  <si>
    <t>Flanges do small by-pass - padronizado  diâm. 36"</t>
  </si>
  <si>
    <t>Flanges do carretel de entrada do TG-3901</t>
  </si>
  <si>
    <t>SA-193 Gr. B8M Cl.1 (temp. máxima = 1500°F) - Diâmetro 1,5",  Tproj=380°C (716 °F)</t>
  </si>
  <si>
    <t>TG CARRETEL</t>
  </si>
  <si>
    <t>(a ser absorvido por molas-prato) [mm]</t>
  </si>
  <si>
    <t>Torque máximo (N.m)  [t=0,2.dp.Wm/1000)</t>
  </si>
  <si>
    <t>Ta: Temperatura ambiente ( C)</t>
  </si>
  <si>
    <t>Tf: Temperatura média do flange ( C)</t>
  </si>
  <si>
    <t>Tp: Temperatura média do parafuso ( C)</t>
  </si>
  <si>
    <t>af: Coeficiente de dilatação térmica do flange (mm/mm C)</t>
  </si>
  <si>
    <t>ap: Coeficiente de dilatação térmica do parafuso (mm/mm C)</t>
  </si>
  <si>
    <t>Df: Dilatação térmica do flange [Df = af.(Tf-Ta)]  (mm/mm)</t>
  </si>
  <si>
    <t>Dp: Dilatação térmica do parafuso [Dp = ap.(Tp-Ta)]  (mm/mm)</t>
  </si>
  <si>
    <t>L: Distância entre faces externas dos flanges</t>
  </si>
  <si>
    <t>E: Deformação específica [ E=Df - Dp]</t>
  </si>
  <si>
    <t>D: Deslocamento diferencial entre flange e parafusos [D=L.E]</t>
  </si>
  <si>
    <t>PDV 27-A e seu CARRETEL</t>
  </si>
  <si>
    <t>Parafusos: diâmetro (pol.)</t>
  </si>
  <si>
    <t>Parafusos: quantidade no flange</t>
  </si>
  <si>
    <t>Material dos parafusos</t>
  </si>
  <si>
    <t>A193gr B8 Cl.1</t>
  </si>
  <si>
    <t>A193gr B8M Cl.1</t>
  </si>
  <si>
    <t>Planilha de cálculo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</si>
</sst>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#,##0.0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0.000E+00"/>
  </numFmts>
  <fonts count="70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7"/>
      <name val="Arial"/>
      <family val="2"/>
    </font>
    <font>
      <b/>
      <i/>
      <vertAlign val="superscript"/>
      <sz val="12"/>
      <name val="Arial"/>
      <family val="2"/>
    </font>
    <font>
      <b/>
      <i/>
      <vertAlign val="superscript"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bscript"/>
      <sz val="7"/>
      <name val="Arial"/>
      <family val="2"/>
    </font>
    <font>
      <vertAlign val="subscript"/>
      <sz val="8"/>
      <name val="Arial"/>
      <family val="2"/>
    </font>
    <font>
      <vertAlign val="subscript"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7"/>
      <color indexed="12"/>
      <name val="Arial"/>
      <family val="2"/>
    </font>
    <font>
      <b/>
      <sz val="9"/>
      <color indexed="12"/>
      <name val="Arial"/>
      <family val="2"/>
    </font>
    <font>
      <b/>
      <sz val="7"/>
      <color indexed="10"/>
      <name val="Arial"/>
      <family val="2"/>
    </font>
    <font>
      <b/>
      <sz val="7"/>
      <color indexed="13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.75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0"/>
    </font>
    <font>
      <b/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9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16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center"/>
      <protection/>
    </xf>
    <xf numFmtId="2" fontId="3" fillId="34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33" borderId="16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2" fontId="3" fillId="34" borderId="11" xfId="0" applyNumberFormat="1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3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181" fontId="3" fillId="34" borderId="11" xfId="0" applyNumberFormat="1" applyFont="1" applyFill="1" applyBorder="1" applyAlignment="1" applyProtection="1">
      <alignment horizontal="center" vertical="center"/>
      <protection/>
    </xf>
    <xf numFmtId="179" fontId="4" fillId="35" borderId="17" xfId="0" applyNumberFormat="1" applyFont="1" applyFill="1" applyBorder="1" applyAlignment="1" applyProtection="1">
      <alignment horizontal="center" vertical="center"/>
      <protection/>
    </xf>
    <xf numFmtId="180" fontId="3" fillId="34" borderId="11" xfId="0" applyNumberFormat="1" applyFont="1" applyFill="1" applyBorder="1" applyAlignment="1" applyProtection="1">
      <alignment horizontal="center" vertical="center"/>
      <protection/>
    </xf>
    <xf numFmtId="2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 applyProtection="1">
      <alignment horizontal="center"/>
      <protection locked="0"/>
    </xf>
    <xf numFmtId="2" fontId="19" fillId="36" borderId="12" xfId="0" applyNumberFormat="1" applyFont="1" applyFill="1" applyBorder="1" applyAlignment="1" applyProtection="1">
      <alignment horizontal="center" vertical="center"/>
      <protection locked="0"/>
    </xf>
    <xf numFmtId="4" fontId="19" fillId="36" borderId="12" xfId="0" applyNumberFormat="1" applyFont="1" applyFill="1" applyBorder="1" applyAlignment="1" applyProtection="1">
      <alignment horizontal="center"/>
      <protection locked="0"/>
    </xf>
    <xf numFmtId="1" fontId="19" fillId="36" borderId="12" xfId="0" applyNumberFormat="1" applyFont="1" applyFill="1" applyBorder="1" applyAlignment="1" applyProtection="1">
      <alignment horizontal="center" vertical="center"/>
      <protection locked="0"/>
    </xf>
    <xf numFmtId="4" fontId="22" fillId="34" borderId="11" xfId="0" applyNumberFormat="1" applyFont="1" applyFill="1" applyBorder="1" applyAlignment="1" applyProtection="1">
      <alignment horizontal="center" vertical="center"/>
      <protection/>
    </xf>
    <xf numFmtId="0" fontId="19" fillId="36" borderId="11" xfId="0" applyFont="1" applyFill="1" applyBorder="1" applyAlignment="1" applyProtection="1">
      <alignment horizontal="center" vertical="center"/>
      <protection locked="0"/>
    </xf>
    <xf numFmtId="4" fontId="23" fillId="34" borderId="11" xfId="0" applyNumberFormat="1" applyFont="1" applyFill="1" applyBorder="1" applyAlignment="1" applyProtection="1">
      <alignment horizontal="center"/>
      <protection/>
    </xf>
    <xf numFmtId="4" fontId="23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3" fontId="4" fillId="37" borderId="12" xfId="0" applyNumberFormat="1" applyFont="1" applyFill="1" applyBorder="1" applyAlignment="1" applyProtection="1">
      <alignment horizontal="center" vertical="center"/>
      <protection/>
    </xf>
    <xf numFmtId="179" fontId="4" fillId="37" borderId="12" xfId="0" applyNumberFormat="1" applyFont="1" applyFill="1" applyBorder="1" applyAlignment="1" applyProtection="1">
      <alignment horizontal="center" vertical="center"/>
      <protection/>
    </xf>
    <xf numFmtId="4" fontId="22" fillId="34" borderId="12" xfId="0" applyNumberFormat="1" applyFont="1" applyFill="1" applyBorder="1" applyAlignment="1" applyProtection="1">
      <alignment horizontal="center" vertical="center"/>
      <protection/>
    </xf>
    <xf numFmtId="2" fontId="2" fillId="34" borderId="12" xfId="0" applyNumberFormat="1" applyFont="1" applyFill="1" applyBorder="1" applyAlignment="1" applyProtection="1">
      <alignment horizontal="center" vertical="center"/>
      <protection/>
    </xf>
    <xf numFmtId="2" fontId="22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 locked="0"/>
    </xf>
    <xf numFmtId="180" fontId="3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9" fillId="0" borderId="2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30" fillId="0" borderId="21" xfId="0" applyNumberFormat="1" applyFont="1" applyBorder="1" applyAlignment="1" applyProtection="1">
      <alignment horizontal="center"/>
      <protection locked="0"/>
    </xf>
    <xf numFmtId="1" fontId="30" fillId="0" borderId="22" xfId="0" applyNumberFormat="1" applyFont="1" applyBorder="1" applyAlignment="1" applyProtection="1">
      <alignment horizontal="center"/>
      <protection locked="0"/>
    </xf>
    <xf numFmtId="1" fontId="30" fillId="0" borderId="23" xfId="0" applyNumberFormat="1" applyFont="1" applyBorder="1" applyAlignment="1" applyProtection="1">
      <alignment horizontal="center"/>
      <protection locked="0"/>
    </xf>
    <xf numFmtId="1" fontId="30" fillId="0" borderId="24" xfId="0" applyNumberFormat="1" applyFont="1" applyBorder="1" applyAlignment="1" applyProtection="1">
      <alignment horizontal="center"/>
      <protection locked="0"/>
    </xf>
    <xf numFmtId="1" fontId="31" fillId="0" borderId="25" xfId="0" applyNumberFormat="1" applyFon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8" xfId="0" applyNumberFormat="1" applyBorder="1" applyAlignment="1" applyProtection="1">
      <alignment horizontal="center"/>
      <protection locked="0"/>
    </xf>
    <xf numFmtId="180" fontId="0" fillId="0" borderId="13" xfId="0" applyNumberFormat="1" applyBorder="1" applyAlignment="1" applyProtection="1">
      <alignment horizontal="center"/>
      <protection locked="0"/>
    </xf>
    <xf numFmtId="180" fontId="0" fillId="0" borderId="19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3" fontId="1" fillId="0" borderId="19" xfId="0" applyNumberFormat="1" applyFont="1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11" fontId="0" fillId="0" borderId="11" xfId="0" applyNumberForma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/>
      <protection/>
    </xf>
    <xf numFmtId="178" fontId="30" fillId="0" borderId="11" xfId="0" applyNumberFormat="1" applyFont="1" applyBorder="1" applyAlignment="1" applyProtection="1">
      <alignment/>
      <protection/>
    </xf>
    <xf numFmtId="180" fontId="29" fillId="0" borderId="10" xfId="0" applyNumberFormat="1" applyFont="1" applyBorder="1" applyAlignment="1" applyProtection="1">
      <alignment/>
      <protection/>
    </xf>
    <xf numFmtId="180" fontId="29" fillId="0" borderId="11" xfId="0" applyNumberFormat="1" applyFont="1" applyBorder="1" applyAlignment="1" applyProtection="1">
      <alignment/>
      <protection/>
    </xf>
    <xf numFmtId="180" fontId="29" fillId="0" borderId="18" xfId="0" applyNumberFormat="1" applyFont="1" applyBorder="1" applyAlignment="1" applyProtection="1">
      <alignment/>
      <protection/>
    </xf>
    <xf numFmtId="180" fontId="29" fillId="0" borderId="13" xfId="0" applyNumberFormat="1" applyFont="1" applyBorder="1" applyAlignment="1" applyProtection="1">
      <alignment/>
      <protection/>
    </xf>
    <xf numFmtId="180" fontId="29" fillId="0" borderId="19" xfId="0" applyNumberFormat="1" applyFont="1" applyBorder="1" applyAlignment="1" applyProtection="1">
      <alignment/>
      <protection/>
    </xf>
    <xf numFmtId="180" fontId="32" fillId="0" borderId="10" xfId="0" applyNumberFormat="1" applyFont="1" applyBorder="1" applyAlignment="1" applyProtection="1">
      <alignment/>
      <protection/>
    </xf>
    <xf numFmtId="180" fontId="32" fillId="0" borderId="11" xfId="0" applyNumberFormat="1" applyFont="1" applyBorder="1" applyAlignment="1" applyProtection="1">
      <alignment/>
      <protection/>
    </xf>
    <xf numFmtId="180" fontId="32" fillId="0" borderId="18" xfId="0" applyNumberFormat="1" applyFont="1" applyBorder="1" applyAlignment="1" applyProtection="1">
      <alignment/>
      <protection/>
    </xf>
    <xf numFmtId="180" fontId="32" fillId="0" borderId="13" xfId="0" applyNumberFormat="1" applyFont="1" applyBorder="1" applyAlignment="1" applyProtection="1">
      <alignment/>
      <protection/>
    </xf>
    <xf numFmtId="180" fontId="32" fillId="0" borderId="19" xfId="0" applyNumberFormat="1" applyFont="1" applyBorder="1" applyAlignment="1" applyProtection="1">
      <alignment/>
      <protection/>
    </xf>
    <xf numFmtId="180" fontId="34" fillId="0" borderId="10" xfId="0" applyNumberFormat="1" applyFont="1" applyBorder="1" applyAlignment="1" applyProtection="1">
      <alignment/>
      <protection/>
    </xf>
    <xf numFmtId="180" fontId="34" fillId="0" borderId="11" xfId="0" applyNumberFormat="1" applyFont="1" applyBorder="1" applyAlignment="1" applyProtection="1">
      <alignment/>
      <protection/>
    </xf>
    <xf numFmtId="180" fontId="34" fillId="0" borderId="18" xfId="0" applyNumberFormat="1" applyFont="1" applyBorder="1" applyAlignment="1" applyProtection="1">
      <alignment/>
      <protection/>
    </xf>
    <xf numFmtId="180" fontId="34" fillId="0" borderId="13" xfId="0" applyNumberFormat="1" applyFont="1" applyBorder="1" applyAlignment="1" applyProtection="1">
      <alignment/>
      <protection/>
    </xf>
    <xf numFmtId="180" fontId="34" fillId="0" borderId="10" xfId="0" applyNumberFormat="1" applyFont="1" applyFill="1" applyBorder="1" applyAlignment="1" applyProtection="1">
      <alignment/>
      <protection/>
    </xf>
    <xf numFmtId="180" fontId="34" fillId="0" borderId="18" xfId="0" applyNumberFormat="1" applyFont="1" applyFill="1" applyBorder="1" applyAlignment="1" applyProtection="1">
      <alignment/>
      <protection/>
    </xf>
    <xf numFmtId="180" fontId="34" fillId="0" borderId="19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180" fontId="9" fillId="0" borderId="11" xfId="0" applyNumberFormat="1" applyFont="1" applyBorder="1" applyAlignment="1" applyProtection="1">
      <alignment/>
      <protection/>
    </xf>
    <xf numFmtId="180" fontId="9" fillId="0" borderId="18" xfId="0" applyNumberFormat="1" applyFont="1" applyBorder="1" applyAlignment="1" applyProtection="1">
      <alignment/>
      <protection/>
    </xf>
    <xf numFmtId="180" fontId="9" fillId="0" borderId="13" xfId="0" applyNumberFormat="1" applyFont="1" applyBorder="1" applyAlignment="1" applyProtection="1">
      <alignment/>
      <protection/>
    </xf>
    <xf numFmtId="180" fontId="9" fillId="0" borderId="19" xfId="0" applyNumberFormat="1" applyFont="1" applyBorder="1" applyAlignment="1" applyProtection="1">
      <alignment/>
      <protection/>
    </xf>
    <xf numFmtId="180" fontId="9" fillId="0" borderId="26" xfId="0" applyNumberFormat="1" applyFont="1" applyBorder="1" applyAlignment="1" applyProtection="1">
      <alignment/>
      <protection/>
    </xf>
    <xf numFmtId="180" fontId="9" fillId="0" borderId="27" xfId="0" applyNumberFormat="1" applyFont="1" applyBorder="1" applyAlignment="1" applyProtection="1">
      <alignment/>
      <protection/>
    </xf>
    <xf numFmtId="180" fontId="9" fillId="0" borderId="28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0" fontId="9" fillId="0" borderId="30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20" fillId="36" borderId="34" xfId="0" applyFont="1" applyFill="1" applyBorder="1" applyAlignment="1" applyProtection="1">
      <alignment horizontal="center"/>
      <protection/>
    </xf>
    <xf numFmtId="0" fontId="20" fillId="36" borderId="35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36" xfId="0" applyFont="1" applyFill="1" applyBorder="1" applyAlignment="1" applyProtection="1">
      <alignment horizontal="center" vertical="center" wrapText="1"/>
      <protection/>
    </xf>
    <xf numFmtId="0" fontId="10" fillId="34" borderId="37" xfId="0" applyFont="1" applyFill="1" applyBorder="1" applyAlignment="1" applyProtection="1">
      <alignment horizontal="center"/>
      <protection/>
    </xf>
    <xf numFmtId="0" fontId="10" fillId="34" borderId="38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36" xfId="0" applyFont="1" applyFill="1" applyBorder="1" applyAlignment="1" applyProtection="1">
      <alignment horizontal="left" vertical="center" wrapText="1"/>
      <protection/>
    </xf>
    <xf numFmtId="2" fontId="17" fillId="36" borderId="40" xfId="0" applyNumberFormat="1" applyFont="1" applyFill="1" applyBorder="1" applyAlignment="1" applyProtection="1">
      <alignment horizontal="left"/>
      <protection locked="0"/>
    </xf>
    <xf numFmtId="2" fontId="17" fillId="36" borderId="41" xfId="0" applyNumberFormat="1" applyFont="1" applyFill="1" applyBorder="1" applyAlignment="1" applyProtection="1">
      <alignment horizontal="left"/>
      <protection locked="0"/>
    </xf>
    <xf numFmtId="2" fontId="17" fillId="36" borderId="42" xfId="0" applyNumberFormat="1" applyFont="1" applyFill="1" applyBorder="1" applyAlignment="1" applyProtection="1">
      <alignment horizontal="left"/>
      <protection locked="0"/>
    </xf>
    <xf numFmtId="2" fontId="17" fillId="36" borderId="12" xfId="0" applyNumberFormat="1" applyFont="1" applyFill="1" applyBorder="1" applyAlignment="1" applyProtection="1">
      <alignment horizontal="left"/>
      <protection locked="0"/>
    </xf>
    <xf numFmtId="2" fontId="17" fillId="36" borderId="13" xfId="0" applyNumberFormat="1" applyFont="1" applyFill="1" applyBorder="1" applyAlignment="1" applyProtection="1">
      <alignment horizontal="left"/>
      <protection locked="0"/>
    </xf>
    <xf numFmtId="2" fontId="17" fillId="36" borderId="14" xfId="0" applyNumberFormat="1" applyFont="1" applyFill="1" applyBorder="1" applyAlignment="1" applyProtection="1">
      <alignment horizontal="left"/>
      <protection locked="0"/>
    </xf>
    <xf numFmtId="2" fontId="18" fillId="36" borderId="12" xfId="0" applyNumberFormat="1" applyFont="1" applyFill="1" applyBorder="1" applyAlignment="1" applyProtection="1">
      <alignment horizontal="left"/>
      <protection locked="0"/>
    </xf>
    <xf numFmtId="2" fontId="18" fillId="36" borderId="13" xfId="0" applyNumberFormat="1" applyFont="1" applyFill="1" applyBorder="1" applyAlignment="1" applyProtection="1">
      <alignment horizontal="left"/>
      <protection locked="0"/>
    </xf>
    <xf numFmtId="2" fontId="18" fillId="36" borderId="14" xfId="0" applyNumberFormat="1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wrapText="1"/>
      <protection/>
    </xf>
    <xf numFmtId="0" fontId="3" fillId="33" borderId="13" xfId="0" applyFont="1" applyFill="1" applyBorder="1" applyAlignment="1" applyProtection="1">
      <alignment wrapText="1"/>
      <protection/>
    </xf>
    <xf numFmtId="0" fontId="3" fillId="33" borderId="14" xfId="0" applyFont="1" applyFill="1" applyBorder="1" applyAlignment="1" applyProtection="1">
      <alignment wrapText="1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14" fillId="33" borderId="12" xfId="0" applyFont="1" applyFill="1" applyBorder="1" applyAlignment="1" applyProtection="1">
      <alignment wrapText="1"/>
      <protection/>
    </xf>
    <xf numFmtId="0" fontId="14" fillId="33" borderId="13" xfId="0" applyFont="1" applyFill="1" applyBorder="1" applyAlignment="1" applyProtection="1">
      <alignment wrapText="1"/>
      <protection/>
    </xf>
    <xf numFmtId="0" fontId="14" fillId="33" borderId="14" xfId="0" applyFont="1" applyFill="1" applyBorder="1" applyAlignment="1" applyProtection="1">
      <alignment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4" fontId="21" fillId="38" borderId="12" xfId="0" applyNumberFormat="1" applyFont="1" applyFill="1" applyBorder="1" applyAlignment="1" applyProtection="1">
      <alignment horizontal="left" vertical="center"/>
      <protection/>
    </xf>
    <xf numFmtId="4" fontId="21" fillId="38" borderId="13" xfId="0" applyNumberFormat="1" applyFont="1" applyFill="1" applyBorder="1" applyAlignment="1" applyProtection="1">
      <alignment horizontal="left" vertical="center"/>
      <protection/>
    </xf>
    <xf numFmtId="4" fontId="21" fillId="38" borderId="14" xfId="0" applyNumberFormat="1" applyFont="1" applyFill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 wrapText="1"/>
      <protection/>
    </xf>
    <xf numFmtId="0" fontId="3" fillId="0" borderId="44" xfId="0" applyFont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4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 applyProtection="1">
      <alignment horizontal="left" vertical="center" wrapText="1"/>
      <protection/>
    </xf>
    <xf numFmtId="0" fontId="3" fillId="0" borderId="42" xfId="0" applyFont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wrapText="1"/>
      <protection/>
    </xf>
    <xf numFmtId="0" fontId="3" fillId="33" borderId="13" xfId="0" applyFont="1" applyFill="1" applyBorder="1" applyAlignment="1" applyProtection="1">
      <alignment horizontal="left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4" fontId="23" fillId="34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1" fontId="3" fillId="33" borderId="13" xfId="0" applyNumberFormat="1" applyFont="1" applyFill="1" applyBorder="1" applyAlignment="1" applyProtection="1">
      <alignment horizontal="left" vertical="center"/>
      <protection/>
    </xf>
    <xf numFmtId="1" fontId="3" fillId="33" borderId="14" xfId="0" applyNumberFormat="1" applyFont="1" applyFill="1" applyBorder="1" applyAlignment="1" applyProtection="1">
      <alignment horizontal="left" vertical="center"/>
      <protection/>
    </xf>
    <xf numFmtId="4" fontId="24" fillId="34" borderId="11" xfId="0" applyNumberFormat="1" applyFont="1" applyFill="1" applyBorder="1" applyAlignment="1" applyProtection="1">
      <alignment horizontal="center" vertical="center" wrapText="1"/>
      <protection/>
    </xf>
    <xf numFmtId="4" fontId="24" fillId="34" borderId="12" xfId="0" applyNumberFormat="1" applyFont="1" applyFill="1" applyBorder="1" applyAlignment="1" applyProtection="1">
      <alignment horizontal="center" vertical="center"/>
      <protection/>
    </xf>
    <xf numFmtId="4" fontId="24" fillId="34" borderId="13" xfId="0" applyNumberFormat="1" applyFont="1" applyFill="1" applyBorder="1" applyAlignment="1" applyProtection="1">
      <alignment horizontal="center" vertical="center"/>
      <protection/>
    </xf>
    <xf numFmtId="4" fontId="24" fillId="34" borderId="11" xfId="0" applyNumberFormat="1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4" fontId="19" fillId="38" borderId="12" xfId="0" applyNumberFormat="1" applyFont="1" applyFill="1" applyBorder="1" applyAlignment="1" applyProtection="1">
      <alignment horizontal="left" vertical="center"/>
      <protection/>
    </xf>
    <xf numFmtId="4" fontId="19" fillId="38" borderId="13" xfId="0" applyNumberFormat="1" applyFont="1" applyFill="1" applyBorder="1" applyAlignment="1" applyProtection="1">
      <alignment horizontal="left" vertical="center"/>
      <protection/>
    </xf>
    <xf numFmtId="4" fontId="19" fillId="38" borderId="14" xfId="0" applyNumberFormat="1" applyFont="1" applyFill="1" applyBorder="1" applyAlignment="1" applyProtection="1">
      <alignment horizontal="left" vertical="center"/>
      <protection/>
    </xf>
    <xf numFmtId="4" fontId="23" fillId="34" borderId="12" xfId="0" applyNumberFormat="1" applyFont="1" applyFill="1" applyBorder="1" applyAlignment="1" applyProtection="1">
      <alignment horizontal="center" vertical="center"/>
      <protection/>
    </xf>
    <xf numFmtId="4" fontId="23" fillId="34" borderId="36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4" fontId="15" fillId="34" borderId="11" xfId="0" applyNumberFormat="1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38" xfId="0" applyFont="1" applyFill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4" fontId="19" fillId="38" borderId="12" xfId="0" applyNumberFormat="1" applyFont="1" applyFill="1" applyBorder="1" applyAlignment="1" applyProtection="1">
      <alignment horizontal="left" vertical="center" wrapText="1"/>
      <protection/>
    </xf>
    <xf numFmtId="4" fontId="19" fillId="38" borderId="13" xfId="0" applyNumberFormat="1" applyFont="1" applyFill="1" applyBorder="1" applyAlignment="1" applyProtection="1">
      <alignment horizontal="left" vertical="center" wrapText="1"/>
      <protection/>
    </xf>
    <xf numFmtId="4" fontId="19" fillId="38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vertical="center"/>
      <protection/>
    </xf>
    <xf numFmtId="0" fontId="29" fillId="0" borderId="31" xfId="0" applyFont="1" applyBorder="1" applyAlignment="1" applyProtection="1">
      <alignment horizontal="center"/>
      <protection locked="0"/>
    </xf>
    <xf numFmtId="0" fontId="29" fillId="0" borderId="32" xfId="0" applyFont="1" applyBorder="1" applyAlignment="1" applyProtection="1">
      <alignment horizontal="center"/>
      <protection locked="0"/>
    </xf>
    <xf numFmtId="0" fontId="29" fillId="0" borderId="51" xfId="0" applyFont="1" applyBorder="1" applyAlignment="1" applyProtection="1">
      <alignment horizontal="center"/>
      <protection locked="0"/>
    </xf>
    <xf numFmtId="0" fontId="29" fillId="0" borderId="52" xfId="0" applyFont="1" applyBorder="1" applyAlignment="1" applyProtection="1">
      <alignment horizontal="center"/>
      <protection locked="0"/>
    </xf>
    <xf numFmtId="0" fontId="29" fillId="0" borderId="53" xfId="0" applyFont="1" applyBorder="1" applyAlignment="1" applyProtection="1">
      <alignment horizontal="center"/>
      <protection locked="0"/>
    </xf>
    <xf numFmtId="2" fontId="34" fillId="0" borderId="10" xfId="0" applyNumberFormat="1" applyFont="1" applyBorder="1" applyAlignment="1" applyProtection="1">
      <alignment horizontal="center" vertical="center"/>
      <protection/>
    </xf>
    <xf numFmtId="2" fontId="34" fillId="0" borderId="11" xfId="0" applyNumberFormat="1" applyFont="1" applyBorder="1" applyAlignment="1" applyProtection="1">
      <alignment horizontal="center" vertical="center"/>
      <protection/>
    </xf>
    <xf numFmtId="2" fontId="34" fillId="0" borderId="18" xfId="0" applyNumberFormat="1" applyFont="1" applyBorder="1" applyAlignment="1" applyProtection="1">
      <alignment horizontal="center" vertical="center"/>
      <protection/>
    </xf>
    <xf numFmtId="2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42" xfId="0" applyNumberFormat="1" applyFont="1" applyBorder="1" applyAlignment="1" applyProtection="1">
      <alignment horizontal="center" vertical="center"/>
      <protection/>
    </xf>
    <xf numFmtId="2" fontId="34" fillId="0" borderId="54" xfId="0" applyNumberFormat="1" applyFont="1" applyBorder="1" applyAlignment="1" applyProtection="1">
      <alignment horizontal="center" vertical="center"/>
      <protection/>
    </xf>
    <xf numFmtId="2" fontId="34" fillId="0" borderId="55" xfId="0" applyNumberFormat="1" applyFont="1" applyBorder="1" applyAlignment="1" applyProtection="1">
      <alignment horizontal="center" vertical="center"/>
      <protection/>
    </xf>
    <xf numFmtId="3" fontId="1" fillId="0" borderId="15" xfId="0" applyNumberFormat="1" applyFont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1" xfId="0" applyNumberFormat="1" applyBorder="1" applyAlignment="1" applyProtection="1">
      <alignment horizontal="center"/>
      <protection locked="0"/>
    </xf>
    <xf numFmtId="180" fontId="0" fillId="0" borderId="18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7">
    <dxf>
      <font>
        <b/>
        <i val="0"/>
        <color indexed="12"/>
      </font>
      <fill>
        <patternFill patternType="solid"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  <fill>
        <patternFill patternType="solid"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  <fill>
        <patternFill patternType="solid"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  <fill>
        <patternFill patternType="solid"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  <fill>
        <patternFill patternType="solid"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  <fill>
        <patternFill patternType="solid"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  <fill>
        <patternFill patternType="solid"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zoomScalePageLayoutView="0" workbookViewId="0" topLeftCell="A1">
      <selection activeCell="F8" sqref="F8:K8"/>
    </sheetView>
  </sheetViews>
  <sheetFormatPr defaultColWidth="9.140625" defaultRowHeight="12.75"/>
  <cols>
    <col min="1" max="1" width="9.140625" style="34" customWidth="1"/>
    <col min="2" max="2" width="12.28125" style="34" customWidth="1"/>
    <col min="3" max="3" width="9.140625" style="34" customWidth="1"/>
    <col min="4" max="4" width="12.00390625" style="34" customWidth="1"/>
    <col min="5" max="10" width="9.140625" style="34" customWidth="1"/>
    <col min="11" max="11" width="13.57421875" style="34" customWidth="1"/>
    <col min="12" max="16384" width="9.140625" style="34" customWidth="1"/>
  </cols>
  <sheetData>
    <row r="1" spans="1:11" ht="14.25">
      <c r="A1" s="106" t="s">
        <v>34</v>
      </c>
      <c r="B1" s="107"/>
      <c r="C1" s="107"/>
      <c r="D1" s="107"/>
      <c r="E1" s="107"/>
      <c r="F1" s="107"/>
      <c r="G1" s="107"/>
      <c r="H1" s="107"/>
      <c r="I1" s="108"/>
      <c r="J1" s="109" t="s">
        <v>35</v>
      </c>
      <c r="K1" s="110"/>
    </row>
    <row r="2" spans="1:11" ht="12.75">
      <c r="A2" s="111" t="s">
        <v>36</v>
      </c>
      <c r="B2" s="112"/>
      <c r="C2" s="112"/>
      <c r="D2" s="112"/>
      <c r="E2" s="112"/>
      <c r="F2" s="112"/>
      <c r="G2" s="112"/>
      <c r="H2" s="112"/>
      <c r="I2" s="113"/>
      <c r="J2" s="114" t="s">
        <v>37</v>
      </c>
      <c r="K2" s="115"/>
    </row>
    <row r="3" spans="1:11" ht="12.7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8">
      <c r="A4" s="119" t="s">
        <v>38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2.75">
      <c r="A5" s="120" t="s">
        <v>39</v>
      </c>
      <c r="B5" s="121"/>
      <c r="C5" s="121"/>
      <c r="D5" s="121"/>
      <c r="E5" s="122"/>
      <c r="F5" s="123" t="s">
        <v>387</v>
      </c>
      <c r="G5" s="124"/>
      <c r="H5" s="124"/>
      <c r="I5" s="124"/>
      <c r="J5" s="124"/>
      <c r="K5" s="125"/>
    </row>
    <row r="6" spans="1:11" ht="12.75">
      <c r="A6" s="120" t="s">
        <v>40</v>
      </c>
      <c r="B6" s="121"/>
      <c r="C6" s="121"/>
      <c r="D6" s="121"/>
      <c r="E6" s="122"/>
      <c r="F6" s="126" t="s">
        <v>392</v>
      </c>
      <c r="G6" s="127"/>
      <c r="H6" s="127"/>
      <c r="I6" s="127"/>
      <c r="J6" s="127"/>
      <c r="K6" s="128"/>
    </row>
    <row r="7" spans="1:11" ht="12.75">
      <c r="A7" s="120" t="s">
        <v>41</v>
      </c>
      <c r="B7" s="121"/>
      <c r="C7" s="121"/>
      <c r="D7" s="121"/>
      <c r="E7" s="122"/>
      <c r="F7" s="126" t="s">
        <v>393</v>
      </c>
      <c r="G7" s="127"/>
      <c r="H7" s="127"/>
      <c r="I7" s="127"/>
      <c r="J7" s="127"/>
      <c r="K7" s="128"/>
    </row>
    <row r="8" spans="1:11" ht="12.75">
      <c r="A8" s="120" t="s">
        <v>42</v>
      </c>
      <c r="B8" s="121"/>
      <c r="C8" s="121"/>
      <c r="D8" s="121"/>
      <c r="E8" s="122"/>
      <c r="F8" s="129" t="s">
        <v>378</v>
      </c>
      <c r="G8" s="130"/>
      <c r="H8" s="130"/>
      <c r="I8" s="130"/>
      <c r="J8" s="130"/>
      <c r="K8" s="131"/>
    </row>
    <row r="9" spans="1:11" ht="12.75">
      <c r="A9" s="132" t="s">
        <v>43</v>
      </c>
      <c r="B9" s="133"/>
      <c r="C9" s="133"/>
      <c r="D9" s="133"/>
      <c r="E9" s="133"/>
      <c r="F9" s="133"/>
      <c r="G9" s="133"/>
      <c r="H9" s="133"/>
      <c r="I9" s="133"/>
      <c r="J9" s="133"/>
      <c r="K9" s="134"/>
    </row>
    <row r="10" spans="1:11" ht="12.75">
      <c r="A10" s="9"/>
      <c r="B10" s="135" t="s">
        <v>44</v>
      </c>
      <c r="C10" s="136"/>
      <c r="D10" s="135" t="s">
        <v>45</v>
      </c>
      <c r="E10" s="136"/>
      <c r="F10" s="137"/>
      <c r="G10" s="133"/>
      <c r="H10" s="133"/>
      <c r="I10" s="133"/>
      <c r="J10" s="133"/>
      <c r="K10" s="138"/>
    </row>
    <row r="11" spans="1:11" ht="12.75">
      <c r="A11" s="1" t="s">
        <v>46</v>
      </c>
      <c r="B11" s="25">
        <v>78.9764</v>
      </c>
      <c r="C11" s="2" t="s">
        <v>47</v>
      </c>
      <c r="D11" s="3">
        <f>B11*25.4</f>
        <v>2006.00056</v>
      </c>
      <c r="E11" s="7" t="s">
        <v>2</v>
      </c>
      <c r="F11" s="139" t="s">
        <v>48</v>
      </c>
      <c r="G11" s="140"/>
      <c r="H11" s="140"/>
      <c r="I11" s="140"/>
      <c r="J11" s="140"/>
      <c r="K11" s="141"/>
    </row>
    <row r="12" spans="1:11" ht="12.75">
      <c r="A12" s="1" t="s">
        <v>49</v>
      </c>
      <c r="B12" s="25">
        <v>76.6142</v>
      </c>
      <c r="C12" s="2" t="s">
        <v>47</v>
      </c>
      <c r="D12" s="3">
        <f>B12*25.4</f>
        <v>1946.0006799999999</v>
      </c>
      <c r="E12" s="7" t="s">
        <v>2</v>
      </c>
      <c r="F12" s="139" t="s">
        <v>50</v>
      </c>
      <c r="G12" s="140"/>
      <c r="H12" s="140"/>
      <c r="I12" s="140"/>
      <c r="J12" s="140"/>
      <c r="K12" s="141"/>
    </row>
    <row r="13" spans="1:11" ht="12.75">
      <c r="A13" s="1" t="s">
        <v>51</v>
      </c>
      <c r="B13" s="26">
        <v>4</v>
      </c>
      <c r="C13" s="2" t="s">
        <v>14</v>
      </c>
      <c r="D13" s="3">
        <f>B13</f>
        <v>4</v>
      </c>
      <c r="E13" s="2" t="s">
        <v>14</v>
      </c>
      <c r="F13" s="139" t="s">
        <v>52</v>
      </c>
      <c r="G13" s="140"/>
      <c r="H13" s="140"/>
      <c r="I13" s="140"/>
      <c r="J13" s="140"/>
      <c r="K13" s="141"/>
    </row>
    <row r="14" spans="1:11" ht="12.75">
      <c r="A14" s="1" t="s">
        <v>53</v>
      </c>
      <c r="B14" s="27">
        <f>3*14.22</f>
        <v>42.660000000000004</v>
      </c>
      <c r="C14" s="2" t="s">
        <v>0</v>
      </c>
      <c r="D14" s="3">
        <f>B14*6.894757</f>
        <v>294.13033362000004</v>
      </c>
      <c r="E14" s="7" t="s">
        <v>9</v>
      </c>
      <c r="F14" s="142" t="s">
        <v>54</v>
      </c>
      <c r="G14" s="143"/>
      <c r="H14" s="143"/>
      <c r="I14" s="143"/>
      <c r="J14" s="143"/>
      <c r="K14" s="144"/>
    </row>
    <row r="15" spans="1:11" ht="12.75">
      <c r="A15" s="1" t="s">
        <v>55</v>
      </c>
      <c r="B15" s="27">
        <v>47422</v>
      </c>
      <c r="C15" s="2" t="s">
        <v>56</v>
      </c>
      <c r="D15" s="3">
        <f>B15*0.01152124</f>
        <v>546.36024328</v>
      </c>
      <c r="E15" s="7" t="s">
        <v>57</v>
      </c>
      <c r="F15" s="142" t="s">
        <v>58</v>
      </c>
      <c r="G15" s="143"/>
      <c r="H15" s="143"/>
      <c r="I15" s="143"/>
      <c r="J15" s="143"/>
      <c r="K15" s="144"/>
    </row>
    <row r="16" spans="1:11" ht="17.25" customHeight="1">
      <c r="A16" s="10" t="s">
        <v>59</v>
      </c>
      <c r="B16" s="27">
        <v>2491</v>
      </c>
      <c r="C16" s="2" t="s">
        <v>29</v>
      </c>
      <c r="D16" s="3">
        <f>B16*0.4535924</f>
        <v>1129.8986684</v>
      </c>
      <c r="E16" s="7" t="s">
        <v>1</v>
      </c>
      <c r="F16" s="145" t="s">
        <v>60</v>
      </c>
      <c r="G16" s="146"/>
      <c r="H16" s="146"/>
      <c r="I16" s="146"/>
      <c r="J16" s="146"/>
      <c r="K16" s="147"/>
    </row>
    <row r="17" spans="1:11" ht="12.75">
      <c r="A17" s="1" t="s">
        <v>61</v>
      </c>
      <c r="B17" s="8">
        <f>(16*B15)/(3.14*(B24^3))</f>
        <v>0.5051471057979966</v>
      </c>
      <c r="C17" s="2" t="s">
        <v>0</v>
      </c>
      <c r="D17" s="3">
        <f>B17*6.894757</f>
        <v>3.4828665437304775</v>
      </c>
      <c r="E17" s="7" t="s">
        <v>9</v>
      </c>
      <c r="F17" s="145" t="s">
        <v>62</v>
      </c>
      <c r="G17" s="146"/>
      <c r="H17" s="146"/>
      <c r="I17" s="146"/>
      <c r="J17" s="146"/>
      <c r="K17" s="147"/>
    </row>
    <row r="18" spans="1:11" ht="12.75">
      <c r="A18" s="1" t="s">
        <v>63</v>
      </c>
      <c r="B18" s="8">
        <f>(4*B16)/(3.1416*(B24^2))</f>
        <v>0.5185388212913539</v>
      </c>
      <c r="C18" s="2" t="s">
        <v>0</v>
      </c>
      <c r="D18" s="3">
        <f>B18*6.894757</f>
        <v>3.5751991678703114</v>
      </c>
      <c r="E18" s="7" t="s">
        <v>9</v>
      </c>
      <c r="F18" s="145" t="s">
        <v>64</v>
      </c>
      <c r="G18" s="146"/>
      <c r="H18" s="146"/>
      <c r="I18" s="146"/>
      <c r="J18" s="146"/>
      <c r="K18" s="147"/>
    </row>
    <row r="19" spans="1:11" ht="12.75">
      <c r="A19" s="1" t="s">
        <v>65</v>
      </c>
      <c r="B19" s="8">
        <f>((16*B15)/(3.14*(B24^3)))+((4*B16)/(3.14*(B24^2)))</f>
        <v>1.0239501506925563</v>
      </c>
      <c r="C19" s="2" t="s">
        <v>0</v>
      </c>
      <c r="D19" s="3">
        <f>B19*6.894757</f>
        <v>7.059887469138558</v>
      </c>
      <c r="E19" s="7" t="s">
        <v>9</v>
      </c>
      <c r="F19" s="145" t="s">
        <v>66</v>
      </c>
      <c r="G19" s="146"/>
      <c r="H19" s="146"/>
      <c r="I19" s="146"/>
      <c r="J19" s="146"/>
      <c r="K19" s="147"/>
    </row>
    <row r="20" spans="1:11" ht="12.75">
      <c r="A20" s="1" t="s">
        <v>67</v>
      </c>
      <c r="B20" s="8">
        <f>B19+B14</f>
        <v>43.68395015069256</v>
      </c>
      <c r="C20" s="2" t="s">
        <v>0</v>
      </c>
      <c r="D20" s="3">
        <f>B20*6.894757</f>
        <v>301.1902210891386</v>
      </c>
      <c r="E20" s="7" t="s">
        <v>9</v>
      </c>
      <c r="F20" s="145" t="s">
        <v>68</v>
      </c>
      <c r="G20" s="146"/>
      <c r="H20" s="146"/>
      <c r="I20" s="146"/>
      <c r="J20" s="146"/>
      <c r="K20" s="147"/>
    </row>
    <row r="21" spans="1:11" ht="12.75">
      <c r="A21" s="1" t="s">
        <v>69</v>
      </c>
      <c r="B21" s="8">
        <f>((B11-B12)/2)</f>
        <v>1.1811000000000007</v>
      </c>
      <c r="C21" s="2" t="s">
        <v>47</v>
      </c>
      <c r="D21" s="3">
        <f>B21*25.4</f>
        <v>29.999940000000016</v>
      </c>
      <c r="E21" s="7" t="s">
        <v>2</v>
      </c>
      <c r="F21" s="142" t="s">
        <v>70</v>
      </c>
      <c r="G21" s="143"/>
      <c r="H21" s="143"/>
      <c r="I21" s="143"/>
      <c r="J21" s="143"/>
      <c r="K21" s="144"/>
    </row>
    <row r="22" spans="1:11" ht="12.75">
      <c r="A22" s="1" t="s">
        <v>71</v>
      </c>
      <c r="B22" s="8">
        <f>+B21/2</f>
        <v>0.5905500000000004</v>
      </c>
      <c r="C22" s="2" t="s">
        <v>47</v>
      </c>
      <c r="D22" s="3">
        <f>B22*25.4</f>
        <v>14.999970000000008</v>
      </c>
      <c r="E22" s="7" t="s">
        <v>2</v>
      </c>
      <c r="F22" s="148" t="s">
        <v>72</v>
      </c>
      <c r="G22" s="149"/>
      <c r="H22" s="149"/>
      <c r="I22" s="149"/>
      <c r="J22" s="149"/>
      <c r="K22" s="150"/>
    </row>
    <row r="23" spans="1:11" ht="21" customHeight="1">
      <c r="A23" s="10" t="s">
        <v>73</v>
      </c>
      <c r="B23" s="8">
        <f>IF(B22&lt;=0.25,B22,0.5*SQRT(B22))</f>
        <v>0.3842362554470883</v>
      </c>
      <c r="C23" s="2" t="s">
        <v>47</v>
      </c>
      <c r="D23" s="3">
        <f>B23*25.4</f>
        <v>9.759600888356042</v>
      </c>
      <c r="E23" s="7" t="s">
        <v>2</v>
      </c>
      <c r="F23" s="151" t="s">
        <v>360</v>
      </c>
      <c r="G23" s="152"/>
      <c r="H23" s="152"/>
      <c r="I23" s="152"/>
      <c r="J23" s="152"/>
      <c r="K23" s="153"/>
    </row>
    <row r="24" spans="1:11" ht="17.25" customHeight="1">
      <c r="A24" s="1" t="s">
        <v>74</v>
      </c>
      <c r="B24" s="8">
        <f>IF(B22&lt;=0.25,((B11+B12)/2),(B11-(2*B23)))</f>
        <v>78.20792748910583</v>
      </c>
      <c r="C24" s="2" t="s">
        <v>47</v>
      </c>
      <c r="D24" s="3">
        <f>B24*25.4</f>
        <v>1986.481358223288</v>
      </c>
      <c r="E24" s="7" t="s">
        <v>2</v>
      </c>
      <c r="F24" s="145" t="s">
        <v>75</v>
      </c>
      <c r="G24" s="146"/>
      <c r="H24" s="146"/>
      <c r="I24" s="146"/>
      <c r="J24" s="146"/>
      <c r="K24" s="147"/>
    </row>
    <row r="25" spans="1:11" ht="12.75">
      <c r="A25" s="1" t="s">
        <v>76</v>
      </c>
      <c r="B25" s="3">
        <f>B20*0.785*B24*B24</f>
        <v>209745.72315297576</v>
      </c>
      <c r="C25" s="2" t="s">
        <v>29</v>
      </c>
      <c r="D25" s="3">
        <f>B25*0.4535924</f>
        <v>95139.06595469384</v>
      </c>
      <c r="E25" s="7" t="s">
        <v>1</v>
      </c>
      <c r="F25" s="145" t="s">
        <v>77</v>
      </c>
      <c r="G25" s="146"/>
      <c r="H25" s="146"/>
      <c r="I25" s="146"/>
      <c r="J25" s="146"/>
      <c r="K25" s="147"/>
    </row>
    <row r="26" spans="1:11" ht="12.75">
      <c r="A26" s="1" t="s">
        <v>78</v>
      </c>
      <c r="B26" s="3">
        <f>B13*B14*2*B23*B24*3.14</f>
        <v>32202.501169114465</v>
      </c>
      <c r="C26" s="2" t="s">
        <v>29</v>
      </c>
      <c r="D26" s="3">
        <f>B26*0.4535924</f>
        <v>14606.809791301435</v>
      </c>
      <c r="E26" s="7" t="s">
        <v>1</v>
      </c>
      <c r="F26" s="145" t="s">
        <v>79</v>
      </c>
      <c r="G26" s="146"/>
      <c r="H26" s="146"/>
      <c r="I26" s="146"/>
      <c r="J26" s="146"/>
      <c r="K26" s="147"/>
    </row>
    <row r="27" spans="1:11" ht="12.75">
      <c r="A27" s="11" t="s">
        <v>80</v>
      </c>
      <c r="B27" s="3">
        <f>B25+B26</f>
        <v>241948.22432209022</v>
      </c>
      <c r="C27" s="2" t="s">
        <v>29</v>
      </c>
      <c r="D27" s="3">
        <f>B27*0.4535924</f>
        <v>109745.87574599528</v>
      </c>
      <c r="E27" s="7" t="s">
        <v>1</v>
      </c>
      <c r="F27" s="145" t="s">
        <v>81</v>
      </c>
      <c r="G27" s="146"/>
      <c r="H27" s="146"/>
      <c r="I27" s="146"/>
      <c r="J27" s="146"/>
      <c r="K27" s="147"/>
    </row>
    <row r="28" spans="1:11" ht="12.75">
      <c r="A28" s="154" t="s">
        <v>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6"/>
    </row>
    <row r="29" spans="1:11" ht="22.5" customHeight="1">
      <c r="A29" s="1" t="s">
        <v>82</v>
      </c>
      <c r="B29" s="28">
        <v>4500</v>
      </c>
      <c r="C29" s="2" t="s">
        <v>0</v>
      </c>
      <c r="D29" s="3">
        <f>B29*6.894757</f>
        <v>31026.4065</v>
      </c>
      <c r="E29" s="7" t="s">
        <v>9</v>
      </c>
      <c r="F29" s="145" t="s">
        <v>83</v>
      </c>
      <c r="G29" s="146"/>
      <c r="H29" s="146"/>
      <c r="I29" s="146"/>
      <c r="J29" s="146"/>
      <c r="K29" s="147"/>
    </row>
    <row r="30" spans="1:11" ht="12.75">
      <c r="A30" s="1" t="s">
        <v>84</v>
      </c>
      <c r="B30" s="3">
        <f>B23*B24*B29*3.1416</f>
        <v>424827.4009349636</v>
      </c>
      <c r="C30" s="2" t="s">
        <v>29</v>
      </c>
      <c r="D30" s="3">
        <f>B30*0.4535924</f>
        <v>192698.48037585238</v>
      </c>
      <c r="E30" s="7" t="s">
        <v>1</v>
      </c>
      <c r="F30" s="145" t="s">
        <v>85</v>
      </c>
      <c r="G30" s="146"/>
      <c r="H30" s="146"/>
      <c r="I30" s="146"/>
      <c r="J30" s="146"/>
      <c r="K30" s="147"/>
    </row>
    <row r="31" spans="1:11" ht="23.25" customHeight="1">
      <c r="A31" s="154" t="s">
        <v>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6"/>
    </row>
    <row r="32" spans="1:11" ht="12.75">
      <c r="A32" s="1" t="s">
        <v>5</v>
      </c>
      <c r="B32" s="28">
        <v>380</v>
      </c>
      <c r="C32" s="2" t="s">
        <v>6</v>
      </c>
      <c r="D32" s="41">
        <f>B32*1.8+32</f>
        <v>716</v>
      </c>
      <c r="E32" s="2" t="s">
        <v>6</v>
      </c>
      <c r="F32" s="148" t="s">
        <v>7</v>
      </c>
      <c r="G32" s="149"/>
      <c r="H32" s="149"/>
      <c r="I32" s="149"/>
      <c r="J32" s="149"/>
      <c r="K32" s="150"/>
    </row>
    <row r="33" spans="1:11" ht="12.75">
      <c r="A33" s="1" t="s">
        <v>8</v>
      </c>
      <c r="B33" s="28">
        <v>11700</v>
      </c>
      <c r="C33" s="2" t="s">
        <v>0</v>
      </c>
      <c r="D33" s="3">
        <f>B33*6.894757</f>
        <v>80668.6569</v>
      </c>
      <c r="E33" s="7" t="s">
        <v>9</v>
      </c>
      <c r="F33" s="148" t="s">
        <v>10</v>
      </c>
      <c r="G33" s="149"/>
      <c r="H33" s="149"/>
      <c r="I33" s="149"/>
      <c r="J33" s="149"/>
      <c r="K33" s="150"/>
    </row>
    <row r="34" spans="1:11" ht="12.75">
      <c r="A34" s="1" t="s">
        <v>11</v>
      </c>
      <c r="B34" s="28">
        <v>18800</v>
      </c>
      <c r="C34" s="2" t="s">
        <v>0</v>
      </c>
      <c r="D34" s="3">
        <f>B34*6.894757</f>
        <v>129621.43160000001</v>
      </c>
      <c r="E34" s="7" t="s">
        <v>9</v>
      </c>
      <c r="F34" s="148" t="s">
        <v>12</v>
      </c>
      <c r="G34" s="149"/>
      <c r="H34" s="149"/>
      <c r="I34" s="149"/>
      <c r="J34" s="149"/>
      <c r="K34" s="150"/>
    </row>
    <row r="35" spans="1:11" ht="12.75">
      <c r="A35" s="1" t="s">
        <v>363</v>
      </c>
      <c r="B35" s="28">
        <v>1.5</v>
      </c>
      <c r="C35" s="2" t="s">
        <v>47</v>
      </c>
      <c r="D35" s="3">
        <f>B35*25.4</f>
        <v>38.099999999999994</v>
      </c>
      <c r="E35" s="7" t="s">
        <v>2</v>
      </c>
      <c r="F35" s="4" t="s">
        <v>364</v>
      </c>
      <c r="G35" s="5"/>
      <c r="H35" s="5"/>
      <c r="I35" s="5"/>
      <c r="J35" s="5"/>
      <c r="K35" s="6"/>
    </row>
    <row r="36" spans="1:11" ht="12.75">
      <c r="A36" s="1" t="s">
        <v>13</v>
      </c>
      <c r="B36" s="28">
        <v>72</v>
      </c>
      <c r="C36" s="2" t="s">
        <v>14</v>
      </c>
      <c r="D36" s="3">
        <f>B36</f>
        <v>72</v>
      </c>
      <c r="E36" s="7" t="s">
        <v>14</v>
      </c>
      <c r="F36" s="139" t="s">
        <v>15</v>
      </c>
      <c r="G36" s="140"/>
      <c r="H36" s="140"/>
      <c r="I36" s="140"/>
      <c r="J36" s="140"/>
      <c r="K36" s="141"/>
    </row>
    <row r="37" spans="1:11" ht="12.75">
      <c r="A37" s="1" t="s">
        <v>16</v>
      </c>
      <c r="B37" s="28">
        <v>1.405</v>
      </c>
      <c r="C37" s="2" t="s">
        <v>17</v>
      </c>
      <c r="D37" s="3">
        <f>B37*25.4*25.4</f>
        <v>906.4497999999999</v>
      </c>
      <c r="E37" s="7" t="s">
        <v>18</v>
      </c>
      <c r="F37" s="148" t="s">
        <v>19</v>
      </c>
      <c r="G37" s="149"/>
      <c r="H37" s="149"/>
      <c r="I37" s="149"/>
      <c r="J37" s="149"/>
      <c r="K37" s="150"/>
    </row>
    <row r="38" spans="1:11" ht="12.75">
      <c r="A38" s="1" t="s">
        <v>20</v>
      </c>
      <c r="B38" s="38">
        <f>+B37*B36</f>
        <v>101.16</v>
      </c>
      <c r="C38" s="2" t="s">
        <v>17</v>
      </c>
      <c r="D38" s="3">
        <f>B38*25.4*25.4</f>
        <v>65264.385599999994</v>
      </c>
      <c r="E38" s="7" t="s">
        <v>18</v>
      </c>
      <c r="F38" s="148" t="s">
        <v>21</v>
      </c>
      <c r="G38" s="149"/>
      <c r="H38" s="149"/>
      <c r="I38" s="149"/>
      <c r="J38" s="149"/>
      <c r="K38" s="150"/>
    </row>
    <row r="39" spans="1:11" ht="12.75">
      <c r="A39" s="1" t="s">
        <v>22</v>
      </c>
      <c r="B39" s="8">
        <f>B27/B33</f>
        <v>20.679335412144464</v>
      </c>
      <c r="C39" s="2" t="s">
        <v>17</v>
      </c>
      <c r="D39" s="3">
        <f>B39*25.4*25.4</f>
        <v>13341.480034499122</v>
      </c>
      <c r="E39" s="7" t="s">
        <v>18</v>
      </c>
      <c r="F39" s="148" t="s">
        <v>23</v>
      </c>
      <c r="G39" s="149"/>
      <c r="H39" s="149"/>
      <c r="I39" s="149"/>
      <c r="J39" s="149"/>
      <c r="K39" s="150"/>
    </row>
    <row r="40" spans="1:11" ht="12.75">
      <c r="A40" s="1" t="s">
        <v>24</v>
      </c>
      <c r="B40" s="8">
        <f>B30/B34</f>
        <v>22.59720217739168</v>
      </c>
      <c r="C40" s="2" t="s">
        <v>17</v>
      </c>
      <c r="D40" s="3">
        <f>B40*25.4*25.4</f>
        <v>14578.810956766012</v>
      </c>
      <c r="E40" s="7" t="s">
        <v>18</v>
      </c>
      <c r="F40" s="148" t="s">
        <v>25</v>
      </c>
      <c r="G40" s="149"/>
      <c r="H40" s="149"/>
      <c r="I40" s="149"/>
      <c r="J40" s="149"/>
      <c r="K40" s="150"/>
    </row>
    <row r="41" spans="1:11" ht="12.75">
      <c r="A41" s="1" t="s">
        <v>26</v>
      </c>
      <c r="B41" s="39">
        <f>IF(B39&gt;B40,B39,B40)</f>
        <v>22.59720217739168</v>
      </c>
      <c r="C41" s="2" t="s">
        <v>17</v>
      </c>
      <c r="D41" s="37">
        <f>B41*25.4*25.4</f>
        <v>14578.810956766012</v>
      </c>
      <c r="E41" s="7" t="s">
        <v>18</v>
      </c>
      <c r="F41" s="148" t="s">
        <v>27</v>
      </c>
      <c r="G41" s="149"/>
      <c r="H41" s="149"/>
      <c r="I41" s="149"/>
      <c r="J41" s="149"/>
      <c r="K41" s="150"/>
    </row>
    <row r="42" spans="1:11" ht="12.75">
      <c r="A42" s="157" t="s">
        <v>362</v>
      </c>
      <c r="B42" s="158"/>
      <c r="C42" s="159" t="str">
        <f>IF(B41&lt;=B38,"A área resistente dos parafusos está OK!","Não passou!  A área resistente de parafusos é insuficiente.")</f>
        <v>A área resistente dos parafusos está OK!</v>
      </c>
      <c r="D42" s="160"/>
      <c r="E42" s="160"/>
      <c r="F42" s="160"/>
      <c r="G42" s="160"/>
      <c r="H42" s="160"/>
      <c r="I42" s="160"/>
      <c r="J42" s="160"/>
      <c r="K42" s="161"/>
    </row>
    <row r="43" spans="1:11" ht="12.75">
      <c r="A43" s="1" t="s">
        <v>28</v>
      </c>
      <c r="B43" s="3">
        <f>0.5*(B41+B38)*B34</f>
        <v>1163317.7004674817</v>
      </c>
      <c r="C43" s="2" t="s">
        <v>29</v>
      </c>
      <c r="D43" s="3">
        <f>B43*0.4535924</f>
        <v>527672.0677175262</v>
      </c>
      <c r="E43" s="7" t="s">
        <v>1</v>
      </c>
      <c r="F43" s="148" t="s">
        <v>30</v>
      </c>
      <c r="G43" s="149"/>
      <c r="H43" s="149"/>
      <c r="I43" s="149"/>
      <c r="J43" s="149"/>
      <c r="K43" s="150"/>
    </row>
    <row r="44" spans="1:11" ht="12.75">
      <c r="A44" s="1" t="s">
        <v>31</v>
      </c>
      <c r="B44" s="3">
        <f>B27</f>
        <v>241948.22432209022</v>
      </c>
      <c r="C44" s="2" t="s">
        <v>29</v>
      </c>
      <c r="D44" s="3">
        <f>B44*0.4535924</f>
        <v>109745.87574599528</v>
      </c>
      <c r="E44" s="7" t="s">
        <v>1</v>
      </c>
      <c r="F44" s="148" t="s">
        <v>361</v>
      </c>
      <c r="G44" s="149"/>
      <c r="H44" s="149"/>
      <c r="I44" s="149"/>
      <c r="J44" s="149"/>
      <c r="K44" s="150"/>
    </row>
    <row r="45" spans="1:11" ht="12.75">
      <c r="A45" s="1" t="s">
        <v>32</v>
      </c>
      <c r="B45" s="3">
        <f>IF(B43&gt;B44,B43,B44)</f>
        <v>1163317.7004674817</v>
      </c>
      <c r="C45" s="2" t="s">
        <v>29</v>
      </c>
      <c r="D45" s="3">
        <f>B45*0.4535924</f>
        <v>527672.0677175262</v>
      </c>
      <c r="E45" s="7" t="s">
        <v>1</v>
      </c>
      <c r="F45" s="148" t="s">
        <v>33</v>
      </c>
      <c r="G45" s="149"/>
      <c r="H45" s="149"/>
      <c r="I45" s="149"/>
      <c r="J45" s="149"/>
      <c r="K45" s="150"/>
    </row>
    <row r="46" spans="1:11" ht="12.75">
      <c r="A46" s="154" t="s">
        <v>86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6"/>
    </row>
    <row r="47" spans="1:11" ht="12.75">
      <c r="A47" s="162" t="s">
        <v>87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4"/>
    </row>
    <row r="48" spans="1:11" ht="12.75">
      <c r="A48" s="165" t="s">
        <v>88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7"/>
    </row>
    <row r="49" spans="1:11" ht="12.75">
      <c r="A49" s="165" t="s">
        <v>89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7"/>
    </row>
    <row r="50" spans="1:11" ht="12.75">
      <c r="A50" s="168" t="s">
        <v>90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70"/>
    </row>
    <row r="51" spans="1:11" ht="12.75">
      <c r="A51" s="12" t="s">
        <v>91</v>
      </c>
      <c r="B51" s="25" t="s">
        <v>92</v>
      </c>
      <c r="C51" s="171" t="s">
        <v>93</v>
      </c>
      <c r="D51" s="172"/>
      <c r="E51" s="172"/>
      <c r="F51" s="172"/>
      <c r="G51" s="172"/>
      <c r="H51" s="172"/>
      <c r="I51" s="172"/>
      <c r="J51" s="172"/>
      <c r="K51" s="173"/>
    </row>
    <row r="52" spans="1:11" ht="18" customHeight="1">
      <c r="A52" s="10" t="s">
        <v>94</v>
      </c>
      <c r="B52" s="28">
        <v>2.2441</v>
      </c>
      <c r="C52" s="2" t="s">
        <v>47</v>
      </c>
      <c r="D52" s="3">
        <f aca="true" t="shared" si="0" ref="D52:D59">B52*25.4</f>
        <v>57.000139999999995</v>
      </c>
      <c r="E52" s="7" t="s">
        <v>2</v>
      </c>
      <c r="F52" s="174" t="s">
        <v>95</v>
      </c>
      <c r="G52" s="175"/>
      <c r="H52" s="175"/>
      <c r="I52" s="175"/>
      <c r="J52" s="175"/>
      <c r="K52" s="176"/>
    </row>
    <row r="53" spans="1:11" ht="12.75">
      <c r="A53" s="10" t="s">
        <v>96</v>
      </c>
      <c r="B53" s="28">
        <v>1.9685</v>
      </c>
      <c r="C53" s="2" t="s">
        <v>47</v>
      </c>
      <c r="D53" s="3">
        <f t="shared" si="0"/>
        <v>49.9999</v>
      </c>
      <c r="E53" s="7" t="s">
        <v>2</v>
      </c>
      <c r="F53" s="174" t="s">
        <v>97</v>
      </c>
      <c r="G53" s="175"/>
      <c r="H53" s="175"/>
      <c r="I53" s="175"/>
      <c r="J53" s="175"/>
      <c r="K53" s="176"/>
    </row>
    <row r="54" spans="1:11" ht="12.75">
      <c r="A54" s="10" t="s">
        <v>98</v>
      </c>
      <c r="B54" s="28">
        <v>0.9843</v>
      </c>
      <c r="C54" s="13" t="s">
        <v>47</v>
      </c>
      <c r="D54" s="3">
        <f t="shared" si="0"/>
        <v>25.001219999999996</v>
      </c>
      <c r="E54" s="7" t="s">
        <v>2</v>
      </c>
      <c r="F54" s="177" t="s">
        <v>99</v>
      </c>
      <c r="G54" s="178"/>
      <c r="H54" s="178"/>
      <c r="I54" s="178"/>
      <c r="J54" s="178"/>
      <c r="K54" s="179"/>
    </row>
    <row r="55" spans="1:11" ht="12.75">
      <c r="A55" s="10" t="s">
        <v>100</v>
      </c>
      <c r="B55" s="28">
        <v>83.2283</v>
      </c>
      <c r="C55" s="2" t="s">
        <v>47</v>
      </c>
      <c r="D55" s="3">
        <f t="shared" si="0"/>
        <v>2113.99882</v>
      </c>
      <c r="E55" s="7" t="s">
        <v>2</v>
      </c>
      <c r="F55" s="174" t="s">
        <v>101</v>
      </c>
      <c r="G55" s="175"/>
      <c r="H55" s="175"/>
      <c r="I55" s="175"/>
      <c r="J55" s="175"/>
      <c r="K55" s="176"/>
    </row>
    <row r="56" spans="1:11" ht="12.75">
      <c r="A56" s="10" t="s">
        <v>102</v>
      </c>
      <c r="B56" s="28">
        <v>74.8031</v>
      </c>
      <c r="C56" s="2" t="s">
        <v>47</v>
      </c>
      <c r="D56" s="3">
        <f t="shared" si="0"/>
        <v>1899.99874</v>
      </c>
      <c r="E56" s="7" t="s">
        <v>2</v>
      </c>
      <c r="F56" s="174" t="s">
        <v>103</v>
      </c>
      <c r="G56" s="175"/>
      <c r="H56" s="175"/>
      <c r="I56" s="175"/>
      <c r="J56" s="175"/>
      <c r="K56" s="176"/>
    </row>
    <row r="57" spans="1:11" ht="12.75">
      <c r="A57" s="10" t="s">
        <v>104</v>
      </c>
      <c r="B57" s="28">
        <v>87.4016</v>
      </c>
      <c r="C57" s="2" t="s">
        <v>47</v>
      </c>
      <c r="D57" s="3">
        <f t="shared" si="0"/>
        <v>2220.0006399999997</v>
      </c>
      <c r="E57" s="7" t="s">
        <v>2</v>
      </c>
      <c r="F57" s="174" t="s">
        <v>105</v>
      </c>
      <c r="G57" s="175"/>
      <c r="H57" s="175"/>
      <c r="I57" s="175"/>
      <c r="J57" s="175"/>
      <c r="K57" s="176"/>
    </row>
    <row r="58" spans="1:11" ht="12.75">
      <c r="A58" s="10" t="s">
        <v>106</v>
      </c>
      <c r="B58" s="28">
        <v>5.9055</v>
      </c>
      <c r="C58" s="2" t="s">
        <v>47</v>
      </c>
      <c r="D58" s="3">
        <f t="shared" si="0"/>
        <v>149.9997</v>
      </c>
      <c r="E58" s="7" t="s">
        <v>2</v>
      </c>
      <c r="F58" s="174" t="s">
        <v>107</v>
      </c>
      <c r="G58" s="175"/>
      <c r="H58" s="175"/>
      <c r="I58" s="175"/>
      <c r="J58" s="175"/>
      <c r="K58" s="176"/>
    </row>
    <row r="59" spans="1:11" ht="12.75">
      <c r="A59" s="10" t="s">
        <v>108</v>
      </c>
      <c r="B59" s="14">
        <f>(B56*B54)^0.5</f>
        <v>8.580716248076264</v>
      </c>
      <c r="C59" s="2" t="s">
        <v>47</v>
      </c>
      <c r="D59" s="3">
        <f t="shared" si="0"/>
        <v>217.9501927011371</v>
      </c>
      <c r="E59" s="7" t="s">
        <v>2</v>
      </c>
      <c r="F59" s="174" t="s">
        <v>109</v>
      </c>
      <c r="G59" s="175"/>
      <c r="H59" s="175"/>
      <c r="I59" s="175"/>
      <c r="J59" s="175"/>
      <c r="K59" s="176"/>
    </row>
    <row r="60" spans="1:11" ht="12.75">
      <c r="A60" s="10" t="s">
        <v>110</v>
      </c>
      <c r="B60" s="14">
        <f>IF(B51="a",(B208/B59),(B209/B59))</f>
        <v>0.09173092196514561</v>
      </c>
      <c r="C60" s="2" t="s">
        <v>111</v>
      </c>
      <c r="D60" s="3">
        <f>B60/25.4</f>
        <v>0.003611453620675024</v>
      </c>
      <c r="E60" s="7" t="s">
        <v>112</v>
      </c>
      <c r="F60" s="174" t="s">
        <v>113</v>
      </c>
      <c r="G60" s="175"/>
      <c r="H60" s="175"/>
      <c r="I60" s="175"/>
      <c r="J60" s="175"/>
      <c r="K60" s="176"/>
    </row>
    <row r="61" spans="1:11" ht="12.75">
      <c r="A61" s="10" t="s">
        <v>114</v>
      </c>
      <c r="B61" s="28">
        <v>3.68</v>
      </c>
      <c r="C61" s="2" t="s">
        <v>47</v>
      </c>
      <c r="D61" s="3">
        <f>B61*25.4</f>
        <v>93.472</v>
      </c>
      <c r="E61" s="7" t="s">
        <v>2</v>
      </c>
      <c r="F61" s="174" t="s">
        <v>115</v>
      </c>
      <c r="G61" s="175"/>
      <c r="H61" s="175"/>
      <c r="I61" s="175"/>
      <c r="J61" s="175"/>
      <c r="K61" s="176"/>
    </row>
    <row r="62" spans="1:11" ht="12.75">
      <c r="A62" s="10"/>
      <c r="B62" s="25" t="s">
        <v>116</v>
      </c>
      <c r="C62" s="2" t="s">
        <v>117</v>
      </c>
      <c r="D62" s="3" t="s">
        <v>117</v>
      </c>
      <c r="E62" s="7" t="s">
        <v>117</v>
      </c>
      <c r="F62" s="174" t="s">
        <v>118</v>
      </c>
      <c r="G62" s="175"/>
      <c r="H62" s="175"/>
      <c r="I62" s="175"/>
      <c r="J62" s="175"/>
      <c r="K62" s="176"/>
    </row>
    <row r="63" spans="1:11" ht="12.75">
      <c r="A63" s="10" t="s">
        <v>119</v>
      </c>
      <c r="B63" s="28">
        <v>28000000</v>
      </c>
      <c r="C63" s="2" t="s">
        <v>0</v>
      </c>
      <c r="D63" s="3">
        <f>B63*6.894757</f>
        <v>193053196</v>
      </c>
      <c r="E63" s="7" t="s">
        <v>120</v>
      </c>
      <c r="F63" s="174" t="s">
        <v>121</v>
      </c>
      <c r="G63" s="175"/>
      <c r="H63" s="175"/>
      <c r="I63" s="175"/>
      <c r="J63" s="175"/>
      <c r="K63" s="176"/>
    </row>
    <row r="64" spans="1:11" ht="12.75">
      <c r="A64" s="10" t="s">
        <v>122</v>
      </c>
      <c r="B64" s="28">
        <v>2300</v>
      </c>
      <c r="C64" s="2" t="s">
        <v>0</v>
      </c>
      <c r="D64" s="3">
        <f>B64*6.894757</f>
        <v>15857.9411</v>
      </c>
      <c r="E64" s="7" t="s">
        <v>9</v>
      </c>
      <c r="F64" s="174" t="s">
        <v>123</v>
      </c>
      <c r="G64" s="175"/>
      <c r="H64" s="175"/>
      <c r="I64" s="175"/>
      <c r="J64" s="175"/>
      <c r="K64" s="176"/>
    </row>
    <row r="65" spans="1:11" ht="12.75">
      <c r="A65" s="10" t="s">
        <v>124</v>
      </c>
      <c r="B65" s="28">
        <v>20000</v>
      </c>
      <c r="C65" s="2" t="s">
        <v>0</v>
      </c>
      <c r="D65" s="3">
        <f>B65*6.894757</f>
        <v>137895.14</v>
      </c>
      <c r="E65" s="7" t="s">
        <v>9</v>
      </c>
      <c r="F65" s="174" t="s">
        <v>125</v>
      </c>
      <c r="G65" s="175"/>
      <c r="H65" s="175"/>
      <c r="I65" s="175"/>
      <c r="J65" s="175"/>
      <c r="K65" s="176"/>
    </row>
    <row r="66" spans="1:11" ht="12.75">
      <c r="A66" s="10"/>
      <c r="B66" s="25" t="s">
        <v>126</v>
      </c>
      <c r="C66" s="2" t="s">
        <v>117</v>
      </c>
      <c r="D66" s="3" t="s">
        <v>117</v>
      </c>
      <c r="E66" s="7" t="s">
        <v>117</v>
      </c>
      <c r="F66" s="174" t="s">
        <v>127</v>
      </c>
      <c r="G66" s="175"/>
      <c r="H66" s="175"/>
      <c r="I66" s="175"/>
      <c r="J66" s="175"/>
      <c r="K66" s="176"/>
    </row>
    <row r="67" spans="1:11" ht="12.75">
      <c r="A67" s="10" t="s">
        <v>128</v>
      </c>
      <c r="B67" s="28">
        <v>2300</v>
      </c>
      <c r="C67" s="2" t="s">
        <v>0</v>
      </c>
      <c r="D67" s="3">
        <f>B67*6.894757</f>
        <v>15857.9411</v>
      </c>
      <c r="E67" s="7" t="s">
        <v>9</v>
      </c>
      <c r="F67" s="174" t="s">
        <v>129</v>
      </c>
      <c r="G67" s="175"/>
      <c r="H67" s="175"/>
      <c r="I67" s="175"/>
      <c r="J67" s="175"/>
      <c r="K67" s="176"/>
    </row>
    <row r="68" spans="1:11" ht="12.75">
      <c r="A68" s="10" t="s">
        <v>130</v>
      </c>
      <c r="B68" s="28">
        <v>20000</v>
      </c>
      <c r="C68" s="2" t="s">
        <v>0</v>
      </c>
      <c r="D68" s="3">
        <f>B68*6.894757</f>
        <v>137895.14</v>
      </c>
      <c r="E68" s="7" t="s">
        <v>9</v>
      </c>
      <c r="F68" s="174" t="s">
        <v>131</v>
      </c>
      <c r="G68" s="175"/>
      <c r="H68" s="175"/>
      <c r="I68" s="175"/>
      <c r="J68" s="175"/>
      <c r="K68" s="176"/>
    </row>
    <row r="69" spans="1:11" ht="12.75">
      <c r="A69" s="10" t="s">
        <v>132</v>
      </c>
      <c r="B69" s="14">
        <f>IF(B51="a",(B52+(0.5*B53)),IF(B51="b",((B55-B56)/2),IF(B51="c",((B55-B56)/2))))</f>
        <v>3.22835</v>
      </c>
      <c r="C69" s="2" t="s">
        <v>47</v>
      </c>
      <c r="D69" s="3">
        <f>B69*25.4</f>
        <v>82.00008999999999</v>
      </c>
      <c r="E69" s="7" t="s">
        <v>2</v>
      </c>
      <c r="F69" s="174" t="s">
        <v>133</v>
      </c>
      <c r="G69" s="175"/>
      <c r="H69" s="175"/>
      <c r="I69" s="175"/>
      <c r="J69" s="175"/>
      <c r="K69" s="176"/>
    </row>
    <row r="70" spans="1:11" ht="12.75">
      <c r="A70" s="10" t="s">
        <v>134</v>
      </c>
      <c r="B70" s="14">
        <f>IF(B51="a",((B52+B53+B71)/2),IF(B51="b",((B69+B71)/2),IF(B51="c",((B55-B24)/2))))</f>
        <v>3.3613931277235443</v>
      </c>
      <c r="C70" s="2" t="s">
        <v>47</v>
      </c>
      <c r="D70" s="3">
        <f>B70*25.4</f>
        <v>85.37938544417801</v>
      </c>
      <c r="E70" s="7" t="s">
        <v>2</v>
      </c>
      <c r="F70" s="174" t="s">
        <v>135</v>
      </c>
      <c r="G70" s="175"/>
      <c r="H70" s="175"/>
      <c r="I70" s="175"/>
      <c r="J70" s="175"/>
      <c r="K70" s="176"/>
    </row>
    <row r="71" spans="1:11" ht="12.75">
      <c r="A71" s="10" t="s">
        <v>136</v>
      </c>
      <c r="B71" s="14">
        <f>(B55-B24)/2</f>
        <v>2.5101862554470884</v>
      </c>
      <c r="C71" s="2" t="s">
        <v>47</v>
      </c>
      <c r="D71" s="3">
        <f>B71*25.4</f>
        <v>63.75873088835604</v>
      </c>
      <c r="E71" s="7" t="s">
        <v>2</v>
      </c>
      <c r="F71" s="174" t="s">
        <v>137</v>
      </c>
      <c r="G71" s="175"/>
      <c r="H71" s="175"/>
      <c r="I71" s="175"/>
      <c r="J71" s="175"/>
      <c r="K71" s="176"/>
    </row>
    <row r="72" spans="1:11" ht="12.75">
      <c r="A72" s="180" t="s">
        <v>138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2"/>
    </row>
    <row r="73" spans="1:11" ht="12.75">
      <c r="A73" s="10" t="s">
        <v>139</v>
      </c>
      <c r="B73" s="15">
        <f>3.1416*(B56^2)/4*B20</f>
        <v>191978.23405872547</v>
      </c>
      <c r="C73" s="2" t="s">
        <v>29</v>
      </c>
      <c r="D73" s="3">
        <f>B73*0.4535924</f>
        <v>87079.86793445903</v>
      </c>
      <c r="E73" s="7" t="s">
        <v>1</v>
      </c>
      <c r="F73" s="174" t="s">
        <v>140</v>
      </c>
      <c r="G73" s="175"/>
      <c r="H73" s="175"/>
      <c r="I73" s="175"/>
      <c r="J73" s="175"/>
      <c r="K73" s="176"/>
    </row>
    <row r="74" spans="1:11" ht="12.75">
      <c r="A74" s="10" t="s">
        <v>141</v>
      </c>
      <c r="B74" s="15">
        <f>B25-B73</f>
        <v>17767.489094250283</v>
      </c>
      <c r="C74" s="2" t="s">
        <v>29</v>
      </c>
      <c r="D74" s="3">
        <f>B74*0.4535924</f>
        <v>8059.198020234812</v>
      </c>
      <c r="E74" s="7" t="s">
        <v>1</v>
      </c>
      <c r="F74" s="174" t="s">
        <v>142</v>
      </c>
      <c r="G74" s="175"/>
      <c r="H74" s="175"/>
      <c r="I74" s="175"/>
      <c r="J74" s="175"/>
      <c r="K74" s="176"/>
    </row>
    <row r="75" spans="1:11" ht="21" customHeight="1">
      <c r="A75" s="10" t="s">
        <v>143</v>
      </c>
      <c r="B75" s="15">
        <f>B44-B25</f>
        <v>32202.50116911446</v>
      </c>
      <c r="C75" s="2" t="s">
        <v>29</v>
      </c>
      <c r="D75" s="3">
        <f>B75*0.4535924</f>
        <v>14606.809791301435</v>
      </c>
      <c r="E75" s="7" t="s">
        <v>1</v>
      </c>
      <c r="F75" s="174" t="s">
        <v>144</v>
      </c>
      <c r="G75" s="175"/>
      <c r="H75" s="175"/>
      <c r="I75" s="175"/>
      <c r="J75" s="175"/>
      <c r="K75" s="176"/>
    </row>
    <row r="76" spans="1:11" ht="12.75">
      <c r="A76" s="10" t="s">
        <v>145</v>
      </c>
      <c r="B76" s="15">
        <f>B73*B69</f>
        <v>619772.9319234863</v>
      </c>
      <c r="C76" s="2" t="s">
        <v>56</v>
      </c>
      <c r="D76" s="3">
        <f>B76*0.1152124</f>
        <v>71405.52694194147</v>
      </c>
      <c r="E76" s="7" t="s">
        <v>57</v>
      </c>
      <c r="F76" s="174" t="s">
        <v>146</v>
      </c>
      <c r="G76" s="175"/>
      <c r="H76" s="175"/>
      <c r="I76" s="175"/>
      <c r="J76" s="175"/>
      <c r="K76" s="176"/>
    </row>
    <row r="77" spans="1:11" ht="12.75">
      <c r="A77" s="10" t="s">
        <v>147</v>
      </c>
      <c r="B77" s="15">
        <f>B74*B70</f>
        <v>59723.51573831592</v>
      </c>
      <c r="C77" s="2" t="s">
        <v>56</v>
      </c>
      <c r="D77" s="3">
        <f>B77*0.1152124</f>
        <v>6880.889584649149</v>
      </c>
      <c r="E77" s="7" t="s">
        <v>57</v>
      </c>
      <c r="F77" s="174" t="s">
        <v>148</v>
      </c>
      <c r="G77" s="175"/>
      <c r="H77" s="175"/>
      <c r="I77" s="175"/>
      <c r="J77" s="175"/>
      <c r="K77" s="176"/>
    </row>
    <row r="78" spans="1:11" ht="12.75">
      <c r="A78" s="10" t="s">
        <v>149</v>
      </c>
      <c r="B78" s="15">
        <f>B75*B71</f>
        <v>80834.27582572991</v>
      </c>
      <c r="C78" s="2" t="s">
        <v>56</v>
      </c>
      <c r="D78" s="3">
        <f>B78*0.1152124</f>
        <v>9313.110920144325</v>
      </c>
      <c r="E78" s="7" t="s">
        <v>57</v>
      </c>
      <c r="F78" s="174" t="s">
        <v>150</v>
      </c>
      <c r="G78" s="175"/>
      <c r="H78" s="175"/>
      <c r="I78" s="175"/>
      <c r="J78" s="175"/>
      <c r="K78" s="176"/>
    </row>
    <row r="79" spans="1:11" ht="12.75">
      <c r="A79" s="10" t="s">
        <v>151</v>
      </c>
      <c r="B79" s="15">
        <f>SUM(B76:B78)</f>
        <v>760330.7234875321</v>
      </c>
      <c r="C79" s="2" t="s">
        <v>56</v>
      </c>
      <c r="D79" s="3">
        <f>B79*0.1152124</f>
        <v>87599.52744673495</v>
      </c>
      <c r="E79" s="7" t="s">
        <v>57</v>
      </c>
      <c r="F79" s="174" t="s">
        <v>152</v>
      </c>
      <c r="G79" s="175"/>
      <c r="H79" s="175"/>
      <c r="I79" s="175"/>
      <c r="J79" s="175"/>
      <c r="K79" s="176"/>
    </row>
    <row r="80" spans="1:11" ht="12.75">
      <c r="A80" s="10" t="s">
        <v>153</v>
      </c>
      <c r="B80" s="32">
        <f>IF(B51="a",(B211*B79)/(B221*(B53^2)*B56),0)</f>
        <v>3263.1504668273574</v>
      </c>
      <c r="C80" s="13" t="s">
        <v>0</v>
      </c>
      <c r="D80" s="3">
        <f>B80*6.894757</f>
        <v>22498.62952321119</v>
      </c>
      <c r="E80" s="7" t="s">
        <v>9</v>
      </c>
      <c r="F80" s="174" t="s">
        <v>154</v>
      </c>
      <c r="G80" s="175"/>
      <c r="H80" s="175"/>
      <c r="I80" s="175"/>
      <c r="J80" s="175"/>
      <c r="K80" s="176"/>
    </row>
    <row r="81" spans="1:11" ht="12.75">
      <c r="A81" s="10" t="s">
        <v>155</v>
      </c>
      <c r="B81" s="32">
        <f>IF(B51="a",(((1.33*B61*B60)+1)*B79)/(B221*(B61^2)*B56),0)</f>
        <v>1352.9166531519943</v>
      </c>
      <c r="C81" s="13" t="s">
        <v>0</v>
      </c>
      <c r="D81" s="3">
        <f>B81*6.894757</f>
        <v>9328.031564736286</v>
      </c>
      <c r="E81" s="7" t="s">
        <v>9</v>
      </c>
      <c r="F81" s="174" t="s">
        <v>156</v>
      </c>
      <c r="G81" s="175"/>
      <c r="H81" s="175"/>
      <c r="I81" s="175"/>
      <c r="J81" s="175"/>
      <c r="K81" s="176"/>
    </row>
    <row r="82" spans="1:11" ht="21" customHeight="1">
      <c r="A82" s="10" t="s">
        <v>157</v>
      </c>
      <c r="B82" s="33">
        <f>IF(B51="a",((B215*B79)/((B61^2)*B56))-(B216*B81),(B215*B79)/((B61^2)*B56))</f>
        <v>655.0112316416889</v>
      </c>
      <c r="C82" s="13" t="s">
        <v>0</v>
      </c>
      <c r="D82" s="3">
        <f>B82*6.894757</f>
        <v>4516.143274440156</v>
      </c>
      <c r="E82" s="7" t="s">
        <v>9</v>
      </c>
      <c r="F82" s="174" t="s">
        <v>158</v>
      </c>
      <c r="G82" s="175"/>
      <c r="H82" s="175"/>
      <c r="I82" s="175"/>
      <c r="J82" s="175"/>
      <c r="K82" s="176"/>
    </row>
    <row r="83" spans="1:11" ht="12.75">
      <c r="A83" s="183" t="s">
        <v>159</v>
      </c>
      <c r="B83" s="184"/>
      <c r="C83" s="185">
        <f>(B80+B81)/2</f>
        <v>2308.0335599896757</v>
      </c>
      <c r="D83" s="185"/>
      <c r="E83" s="17" t="s">
        <v>0</v>
      </c>
      <c r="F83" s="16">
        <f>C83*6.894757</f>
        <v>15913.330543973738</v>
      </c>
      <c r="G83" s="17" t="s">
        <v>9</v>
      </c>
      <c r="H83" s="177" t="s">
        <v>160</v>
      </c>
      <c r="I83" s="178"/>
      <c r="J83" s="178"/>
      <c r="K83" s="179"/>
    </row>
    <row r="84" spans="1:11" ht="12.75">
      <c r="A84" s="183" t="s">
        <v>161</v>
      </c>
      <c r="B84" s="184"/>
      <c r="C84" s="185">
        <f>(B80+B82)/2</f>
        <v>1959.0808492345232</v>
      </c>
      <c r="D84" s="185"/>
      <c r="E84" s="17" t="s">
        <v>0</v>
      </c>
      <c r="F84" s="16">
        <f>C84*6.894757</f>
        <v>13507.386398825674</v>
      </c>
      <c r="G84" s="17" t="s">
        <v>9</v>
      </c>
      <c r="H84" s="177" t="s">
        <v>160</v>
      </c>
      <c r="I84" s="178"/>
      <c r="J84" s="178"/>
      <c r="K84" s="179"/>
    </row>
    <row r="85" spans="1:11" ht="12.75">
      <c r="A85" s="180" t="s">
        <v>162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7"/>
    </row>
    <row r="86" spans="1:11" ht="12.75">
      <c r="A86" s="188" t="s">
        <v>163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2"/>
    </row>
    <row r="87" spans="1:11" ht="12.75">
      <c r="A87" s="188" t="s">
        <v>164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2"/>
    </row>
    <row r="88" spans="1:11" ht="12.75">
      <c r="A88" s="188" t="s">
        <v>165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2"/>
    </row>
    <row r="89" spans="1:11" ht="12.75">
      <c r="A89" s="188" t="s">
        <v>166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2"/>
    </row>
    <row r="90" spans="1:11" ht="12.75">
      <c r="A90" s="188" t="s">
        <v>167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2"/>
    </row>
    <row r="91" spans="1:11" ht="12.75">
      <c r="A91" s="183" t="s">
        <v>168</v>
      </c>
      <c r="B91" s="184"/>
      <c r="C91" s="29">
        <v>1</v>
      </c>
      <c r="D91" s="189" t="s">
        <v>169</v>
      </c>
      <c r="E91" s="189"/>
      <c r="F91" s="189"/>
      <c r="G91" s="189"/>
      <c r="H91" s="189"/>
      <c r="I91" s="189"/>
      <c r="J91" s="189"/>
      <c r="K91" s="190"/>
    </row>
    <row r="92" spans="1:11" ht="31.5" customHeight="1">
      <c r="A92" s="183" t="s">
        <v>170</v>
      </c>
      <c r="B92" s="184"/>
      <c r="C92" s="191">
        <f>IF(C91=1,MIN(1.5*B64,2.5*B67),IF(C91=2,MIN(1.5*B64,1.5*B67),IF(C91=3,MIN(1.5*B64,1.5*B67),IF(C91=4,"Não há tensão longitudinal"," "))))</f>
        <v>3450</v>
      </c>
      <c r="D92" s="191"/>
      <c r="E92" s="17" t="s">
        <v>0</v>
      </c>
      <c r="F92" s="18">
        <f>C92*6.894757</f>
        <v>23786.911650000002</v>
      </c>
      <c r="G92" s="17" t="s">
        <v>120</v>
      </c>
      <c r="H92" s="177" t="s">
        <v>171</v>
      </c>
      <c r="I92" s="178"/>
      <c r="J92" s="178"/>
      <c r="K92" s="179"/>
    </row>
    <row r="93" spans="1:11" ht="15.75" customHeight="1">
      <c r="A93" s="183" t="s">
        <v>172</v>
      </c>
      <c r="B93" s="184"/>
      <c r="C93" s="192">
        <f>IF(C91=4,"Não há tensão radial",B64)</f>
        <v>2300</v>
      </c>
      <c r="D93" s="193"/>
      <c r="E93" s="17" t="s">
        <v>0</v>
      </c>
      <c r="F93" s="18">
        <f>C93*6.894757</f>
        <v>15857.9411</v>
      </c>
      <c r="G93" s="7" t="s">
        <v>120</v>
      </c>
      <c r="H93" s="177" t="s">
        <v>122</v>
      </c>
      <c r="I93" s="178"/>
      <c r="J93" s="178"/>
      <c r="K93" s="179"/>
    </row>
    <row r="94" spans="1:11" ht="17.25" customHeight="1">
      <c r="A94" s="183" t="s">
        <v>173</v>
      </c>
      <c r="B94" s="184"/>
      <c r="C94" s="194">
        <f>B64</f>
        <v>2300</v>
      </c>
      <c r="D94" s="194"/>
      <c r="E94" s="17" t="s">
        <v>0</v>
      </c>
      <c r="F94" s="18">
        <f>C94*6.894757</f>
        <v>15857.9411</v>
      </c>
      <c r="G94" s="7" t="s">
        <v>120</v>
      </c>
      <c r="H94" s="177" t="s">
        <v>122</v>
      </c>
      <c r="I94" s="178"/>
      <c r="J94" s="178"/>
      <c r="K94" s="179"/>
    </row>
    <row r="95" spans="1:11" ht="12.75">
      <c r="A95" s="195" t="s">
        <v>174</v>
      </c>
      <c r="B95" s="196"/>
      <c r="C95" s="201" t="str">
        <f>IF(B80&lt;=C92,"A tensão longitudinal está Ok","A tensão longitudinal não passou")</f>
        <v>A tensão longitudinal está Ok</v>
      </c>
      <c r="D95" s="202"/>
      <c r="E95" s="202"/>
      <c r="F95" s="202"/>
      <c r="G95" s="202"/>
      <c r="H95" s="202"/>
      <c r="I95" s="202"/>
      <c r="J95" s="202"/>
      <c r="K95" s="203"/>
    </row>
    <row r="96" spans="1:11" ht="12.75">
      <c r="A96" s="197"/>
      <c r="B96" s="198"/>
      <c r="C96" s="201" t="str">
        <f>IF(B81&lt;=C93,"A tensão radial está Ok","A tensão radial não passou")</f>
        <v>A tensão radial está Ok</v>
      </c>
      <c r="D96" s="202"/>
      <c r="E96" s="202"/>
      <c r="F96" s="202"/>
      <c r="G96" s="202"/>
      <c r="H96" s="202"/>
      <c r="I96" s="202"/>
      <c r="J96" s="202"/>
      <c r="K96" s="203"/>
    </row>
    <row r="97" spans="1:11" ht="12.75">
      <c r="A97" s="197"/>
      <c r="B97" s="198"/>
      <c r="C97" s="201" t="str">
        <f>IF(B82&lt;=C94,"A tensão tangencial está Ok","A tensão tangencial não passou")</f>
        <v>A tensão tangencial está Ok</v>
      </c>
      <c r="D97" s="202"/>
      <c r="E97" s="202"/>
      <c r="F97" s="202"/>
      <c r="G97" s="202"/>
      <c r="H97" s="202"/>
      <c r="I97" s="202"/>
      <c r="J97" s="202"/>
      <c r="K97" s="203"/>
    </row>
    <row r="98" spans="1:11" ht="12.75">
      <c r="A98" s="197"/>
      <c r="B98" s="198"/>
      <c r="C98" s="201" t="str">
        <f>IF(C83&lt;=B64,"Ok, ((SHO+SRO)/2) é menor do que Sfp","Não passou: ((SHO+SRO)/2) é maior do que Sfp")</f>
        <v>Não passou: ((SHO+SRO)/2) é maior do que Sfp</v>
      </c>
      <c r="D98" s="202"/>
      <c r="E98" s="202"/>
      <c r="F98" s="202"/>
      <c r="G98" s="202"/>
      <c r="H98" s="202"/>
      <c r="I98" s="202"/>
      <c r="J98" s="202"/>
      <c r="K98" s="203"/>
    </row>
    <row r="99" spans="1:11" ht="12.75">
      <c r="A99" s="199"/>
      <c r="B99" s="200"/>
      <c r="C99" s="201" t="str">
        <f>IF(C84&lt;=B64,"Ok, ((SHO+STO)/2) é menor do que Sfp","Não passou: ((SHO+STO)/2) é mairo do que Sfp")</f>
        <v>Ok, ((SHO+STO)/2) é menor do que Sfp</v>
      </c>
      <c r="D99" s="202"/>
      <c r="E99" s="202"/>
      <c r="F99" s="202"/>
      <c r="G99" s="202"/>
      <c r="H99" s="202"/>
      <c r="I99" s="202"/>
      <c r="J99" s="202"/>
      <c r="K99" s="203"/>
    </row>
    <row r="100" spans="1:11" ht="12.75">
      <c r="A100" s="180" t="s">
        <v>175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2"/>
    </row>
    <row r="101" spans="1:11" ht="12.75">
      <c r="A101" s="10" t="s">
        <v>176</v>
      </c>
      <c r="B101" s="15">
        <f>B43*(B55-B24)/2</f>
        <v>2920144.102431786</v>
      </c>
      <c r="C101" s="2" t="s">
        <v>56</v>
      </c>
      <c r="D101" s="16">
        <f>B101*0.1152124</f>
        <v>336436.8103870119</v>
      </c>
      <c r="E101" s="7" t="s">
        <v>57</v>
      </c>
      <c r="F101" s="174" t="s">
        <v>177</v>
      </c>
      <c r="G101" s="175"/>
      <c r="H101" s="175"/>
      <c r="I101" s="175"/>
      <c r="J101" s="175"/>
      <c r="K101" s="176"/>
    </row>
    <row r="102" spans="1:11" ht="12.75">
      <c r="A102" s="10" t="s">
        <v>178</v>
      </c>
      <c r="B102" s="32">
        <f>IF(B51="a",(B211*B101)/(B221*(B53^2)*B56),0)</f>
        <v>12532.532615998767</v>
      </c>
      <c r="C102" s="13" t="s">
        <v>0</v>
      </c>
      <c r="D102" s="16">
        <f>B102*6.894757</f>
        <v>86408.76698188581</v>
      </c>
      <c r="E102" s="7" t="s">
        <v>120</v>
      </c>
      <c r="F102" s="174" t="s">
        <v>179</v>
      </c>
      <c r="G102" s="175"/>
      <c r="H102" s="175"/>
      <c r="I102" s="175"/>
      <c r="J102" s="175"/>
      <c r="K102" s="176"/>
    </row>
    <row r="103" spans="1:11" ht="12.75">
      <c r="A103" s="10" t="s">
        <v>180</v>
      </c>
      <c r="B103" s="32">
        <f>IF(B51="a",(((1.33*B61*B60)+1)*B101)/(B221*(B61^2)*B56),0)</f>
        <v>5196.0435949006205</v>
      </c>
      <c r="C103" s="13" t="s">
        <v>0</v>
      </c>
      <c r="D103" s="16">
        <f>B103*6.894757</f>
        <v>35825.45794824622</v>
      </c>
      <c r="E103" s="7" t="s">
        <v>120</v>
      </c>
      <c r="F103" s="174" t="s">
        <v>181</v>
      </c>
      <c r="G103" s="175"/>
      <c r="H103" s="175"/>
      <c r="I103" s="175"/>
      <c r="J103" s="175"/>
      <c r="K103" s="176"/>
    </row>
    <row r="104" spans="1:11" ht="24.75" customHeight="1">
      <c r="A104" s="10" t="s">
        <v>182</v>
      </c>
      <c r="B104" s="33">
        <f>IF(B51="a",((B215*B101)/((B61^2)*B56))-(B216*B103),(B215*B101)/((B61^2)*B56))</f>
        <v>2515.6515790018893</v>
      </c>
      <c r="C104" s="13" t="s">
        <v>0</v>
      </c>
      <c r="D104" s="16">
        <f>B104*6.894757</f>
        <v>17344.80633388433</v>
      </c>
      <c r="E104" s="7" t="s">
        <v>120</v>
      </c>
      <c r="F104" s="174" t="s">
        <v>183</v>
      </c>
      <c r="G104" s="175"/>
      <c r="H104" s="175"/>
      <c r="I104" s="175"/>
      <c r="J104" s="175"/>
      <c r="K104" s="176"/>
    </row>
    <row r="105" spans="1:11" ht="12.75">
      <c r="A105" s="183" t="s">
        <v>184</v>
      </c>
      <c r="B105" s="184"/>
      <c r="C105" s="204">
        <f>(B102+B103)/2</f>
        <v>8864.288105449694</v>
      </c>
      <c r="D105" s="205"/>
      <c r="E105" s="17" t="s">
        <v>0</v>
      </c>
      <c r="F105" s="3">
        <f>C105*6.894757</f>
        <v>61117.11246506602</v>
      </c>
      <c r="G105" s="7" t="s">
        <v>120</v>
      </c>
      <c r="H105" s="177" t="s">
        <v>185</v>
      </c>
      <c r="I105" s="178"/>
      <c r="J105" s="178"/>
      <c r="K105" s="179"/>
    </row>
    <row r="106" spans="1:11" ht="12.75">
      <c r="A106" s="183" t="s">
        <v>186</v>
      </c>
      <c r="B106" s="184"/>
      <c r="C106" s="204">
        <f>(B102+B104)/2</f>
        <v>7524.092097500328</v>
      </c>
      <c r="D106" s="205"/>
      <c r="E106" s="17" t="s">
        <v>0</v>
      </c>
      <c r="F106" s="3">
        <f>C106*6.894757</f>
        <v>51876.78665788507</v>
      </c>
      <c r="G106" s="7" t="s">
        <v>120</v>
      </c>
      <c r="H106" s="177" t="s">
        <v>185</v>
      </c>
      <c r="I106" s="178"/>
      <c r="J106" s="178"/>
      <c r="K106" s="179"/>
    </row>
    <row r="107" spans="1:11" ht="12.75">
      <c r="A107" s="206" t="s">
        <v>187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8"/>
    </row>
    <row r="108" spans="1:11" ht="12.75">
      <c r="A108" s="195" t="s">
        <v>188</v>
      </c>
      <c r="B108" s="196"/>
      <c r="C108" s="201" t="str">
        <f>IF(B102&lt;=1.5*B65,"A tensão longitudinal está Ok","A tensão longitudinal não passou")</f>
        <v>A tensão longitudinal está Ok</v>
      </c>
      <c r="D108" s="202"/>
      <c r="E108" s="202"/>
      <c r="F108" s="202"/>
      <c r="G108" s="202"/>
      <c r="H108" s="202"/>
      <c r="I108" s="202"/>
      <c r="J108" s="202"/>
      <c r="K108" s="203"/>
    </row>
    <row r="109" spans="1:11" ht="12.75">
      <c r="A109" s="197"/>
      <c r="B109" s="198"/>
      <c r="C109" s="201" t="str">
        <f>IF(B103&lt;=B65,"A tensão radial está Ok","A tensão radial não passou")</f>
        <v>A tensão radial está Ok</v>
      </c>
      <c r="D109" s="202"/>
      <c r="E109" s="202"/>
      <c r="F109" s="202"/>
      <c r="G109" s="202"/>
      <c r="H109" s="202"/>
      <c r="I109" s="202"/>
      <c r="J109" s="202"/>
      <c r="K109" s="203"/>
    </row>
    <row r="110" spans="1:11" ht="12.75">
      <c r="A110" s="197"/>
      <c r="B110" s="198"/>
      <c r="C110" s="201" t="str">
        <f>IF(B104&lt;=B65,"A tensão tangencial está Ok","A tensão tangencial não passou")</f>
        <v>A tensão tangencial está Ok</v>
      </c>
      <c r="D110" s="202"/>
      <c r="E110" s="202"/>
      <c r="F110" s="202"/>
      <c r="G110" s="202"/>
      <c r="H110" s="202"/>
      <c r="I110" s="202"/>
      <c r="J110" s="202"/>
      <c r="K110" s="203"/>
    </row>
    <row r="111" spans="1:11" ht="12.75">
      <c r="A111" s="197"/>
      <c r="B111" s="198"/>
      <c r="C111" s="201" t="str">
        <f>IF(C105&lt;=B65,"Ok, ((SHA+SRA)/2) é menor do que Sff","Não passou: ((SHA+SRA)/2) é maior do que Sff")</f>
        <v>Ok, ((SHA+SRA)/2) é menor do que Sff</v>
      </c>
      <c r="D111" s="202"/>
      <c r="E111" s="202"/>
      <c r="F111" s="202"/>
      <c r="G111" s="202"/>
      <c r="H111" s="202"/>
      <c r="I111" s="202"/>
      <c r="J111" s="202"/>
      <c r="K111" s="203"/>
    </row>
    <row r="112" spans="1:11" ht="12.75">
      <c r="A112" s="199"/>
      <c r="B112" s="200"/>
      <c r="C112" s="201" t="str">
        <f>IF(C106&lt;=B65,"Ok, ((SHA+STA)/2) é menor do que Sff","Não passou: ((SHA+STA)/2) é maior do que Sff")</f>
        <v>Ok, ((SHA+STA)/2) é menor do que Sff</v>
      </c>
      <c r="D112" s="202"/>
      <c r="E112" s="202"/>
      <c r="F112" s="202"/>
      <c r="G112" s="202"/>
      <c r="H112" s="202"/>
      <c r="I112" s="202"/>
      <c r="J112" s="202"/>
      <c r="K112" s="203"/>
    </row>
    <row r="113" spans="1:11" ht="21.75" customHeight="1">
      <c r="A113" s="206" t="s">
        <v>189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10"/>
    </row>
    <row r="114" spans="1:13" ht="12.75">
      <c r="A114" s="10" t="s">
        <v>190</v>
      </c>
      <c r="B114" s="28">
        <v>45250</v>
      </c>
      <c r="C114" s="2" t="s">
        <v>0</v>
      </c>
      <c r="D114" s="16">
        <f>B114*6.894757</f>
        <v>311987.75425</v>
      </c>
      <c r="E114" s="7" t="s">
        <v>120</v>
      </c>
      <c r="F114" s="174" t="s">
        <v>191</v>
      </c>
      <c r="G114" s="175"/>
      <c r="H114" s="175"/>
      <c r="I114" s="175"/>
      <c r="J114" s="175"/>
      <c r="K114" s="176"/>
      <c r="L114" s="34">
        <f>B116/B36</f>
        <v>31788.125</v>
      </c>
      <c r="M114" s="34">
        <f>D116/B36</f>
        <v>14418.85191025</v>
      </c>
    </row>
    <row r="115" spans="1:12" ht="12.75">
      <c r="A115" s="19" t="s">
        <v>192</v>
      </c>
      <c r="B115" s="20">
        <f>+B114*0.5</f>
        <v>22625</v>
      </c>
      <c r="C115" s="2" t="s">
        <v>0</v>
      </c>
      <c r="D115" s="16">
        <f>B115*6.894757</f>
        <v>155993.877125</v>
      </c>
      <c r="E115" s="7" t="s">
        <v>120</v>
      </c>
      <c r="F115" s="174" t="s">
        <v>193</v>
      </c>
      <c r="G115" s="175"/>
      <c r="H115" s="175"/>
      <c r="I115" s="175"/>
      <c r="J115" s="175"/>
      <c r="K115" s="176"/>
      <c r="L115" s="28">
        <f>B116/B37/B36</f>
        <v>22625</v>
      </c>
    </row>
    <row r="116" spans="1:11" ht="18.75" customHeight="1">
      <c r="A116" s="19" t="s">
        <v>194</v>
      </c>
      <c r="B116" s="16">
        <f>+B115*B37*B36</f>
        <v>2288745</v>
      </c>
      <c r="C116" s="2" t="s">
        <v>29</v>
      </c>
      <c r="D116" s="30">
        <f>B116*0.4535924</f>
        <v>1038157.337538</v>
      </c>
      <c r="E116" s="7" t="s">
        <v>1</v>
      </c>
      <c r="F116" s="174" t="s">
        <v>195</v>
      </c>
      <c r="G116" s="175"/>
      <c r="H116" s="175"/>
      <c r="I116" s="175"/>
      <c r="J116" s="175"/>
      <c r="K116" s="176"/>
    </row>
    <row r="117" spans="1:11" ht="18" customHeight="1">
      <c r="A117" s="10" t="s">
        <v>196</v>
      </c>
      <c r="B117" s="15">
        <f>B116*(B55-B24)/2</f>
        <v>5745176.241223247</v>
      </c>
      <c r="C117" s="2" t="s">
        <v>56</v>
      </c>
      <c r="D117" s="16">
        <f>B117*0.1152124</f>
        <v>661915.5431743092</v>
      </c>
      <c r="E117" s="7" t="s">
        <v>57</v>
      </c>
      <c r="F117" s="174" t="s">
        <v>197</v>
      </c>
      <c r="G117" s="175"/>
      <c r="H117" s="175"/>
      <c r="I117" s="175"/>
      <c r="J117" s="175"/>
      <c r="K117" s="176"/>
    </row>
    <row r="118" spans="1:11" ht="20.25" customHeight="1">
      <c r="A118" s="10" t="s">
        <v>198</v>
      </c>
      <c r="B118" s="32">
        <f>IF(B51="a",(B211*B117)/(B221*(B53^2)*B56),0)</f>
        <v>24656.868326405987</v>
      </c>
      <c r="C118" s="13" t="s">
        <v>0</v>
      </c>
      <c r="D118" s="16">
        <f>B118*6.894757</f>
        <v>170003.115491566</v>
      </c>
      <c r="E118" s="7" t="s">
        <v>120</v>
      </c>
      <c r="F118" s="174" t="s">
        <v>199</v>
      </c>
      <c r="G118" s="175"/>
      <c r="H118" s="175"/>
      <c r="I118" s="175"/>
      <c r="J118" s="175"/>
      <c r="K118" s="176"/>
    </row>
    <row r="119" spans="1:11" ht="21" customHeight="1">
      <c r="A119" s="10" t="s">
        <v>200</v>
      </c>
      <c r="B119" s="32">
        <f>IF(B51="a",(((1.33*B61*B60)+1)*B117)/(B221*(B61^2)*B56),0)</f>
        <v>10222.846942698307</v>
      </c>
      <c r="C119" s="13" t="s">
        <v>0</v>
      </c>
      <c r="D119" s="16">
        <f>B119*6.894757</f>
        <v>70484.04551809774</v>
      </c>
      <c r="E119" s="7" t="s">
        <v>120</v>
      </c>
      <c r="F119" s="174" t="s">
        <v>201</v>
      </c>
      <c r="G119" s="175"/>
      <c r="H119" s="175"/>
      <c r="I119" s="175"/>
      <c r="J119" s="175"/>
      <c r="K119" s="176"/>
    </row>
    <row r="120" spans="1:11" ht="18" customHeight="1">
      <c r="A120" s="10" t="s">
        <v>202</v>
      </c>
      <c r="B120" s="33">
        <f>IF(B51="a",((B215*B117)/((B61^2)*B56))-(B216*B119),(B215*B117)/((B61^2)*B56))</f>
        <v>4949.365913429283</v>
      </c>
      <c r="C120" s="13" t="s">
        <v>0</v>
      </c>
      <c r="D120" s="16">
        <f>B120*6.894757</f>
        <v>34124.67527717794</v>
      </c>
      <c r="E120" s="7" t="s">
        <v>120</v>
      </c>
      <c r="F120" s="174" t="s">
        <v>203</v>
      </c>
      <c r="G120" s="175"/>
      <c r="H120" s="175"/>
      <c r="I120" s="175"/>
      <c r="J120" s="175"/>
      <c r="K120" s="176"/>
    </row>
    <row r="121" spans="1:11" ht="12.75">
      <c r="A121" s="183" t="s">
        <v>204</v>
      </c>
      <c r="B121" s="184"/>
      <c r="C121" s="211">
        <f>(B118+B119)/2</f>
        <v>17439.857634552147</v>
      </c>
      <c r="D121" s="211"/>
      <c r="E121" s="17" t="s">
        <v>0</v>
      </c>
      <c r="F121" s="16">
        <f>C121*6.894757</f>
        <v>120243.58050483186</v>
      </c>
      <c r="G121" s="7" t="s">
        <v>120</v>
      </c>
      <c r="H121" s="177" t="s">
        <v>185</v>
      </c>
      <c r="I121" s="178"/>
      <c r="J121" s="178"/>
      <c r="K121" s="179"/>
    </row>
    <row r="122" spans="1:11" ht="12.75">
      <c r="A122" s="183" t="s">
        <v>205</v>
      </c>
      <c r="B122" s="184"/>
      <c r="C122" s="211">
        <f>(B118+B120)/2</f>
        <v>14803.117119917635</v>
      </c>
      <c r="D122" s="211"/>
      <c r="E122" s="17" t="s">
        <v>0</v>
      </c>
      <c r="F122" s="16">
        <f>C122*6.894757</f>
        <v>102063.89538437196</v>
      </c>
      <c r="G122" s="7" t="s">
        <v>120</v>
      </c>
      <c r="H122" s="177" t="s">
        <v>185</v>
      </c>
      <c r="I122" s="178"/>
      <c r="J122" s="178"/>
      <c r="K122" s="179"/>
    </row>
    <row r="123" spans="1:11" ht="12.75">
      <c r="A123" s="206" t="s">
        <v>206</v>
      </c>
      <c r="B123" s="207"/>
      <c r="C123" s="207"/>
      <c r="D123" s="207"/>
      <c r="E123" s="207"/>
      <c r="F123" s="207"/>
      <c r="G123" s="207"/>
      <c r="H123" s="207"/>
      <c r="I123" s="207"/>
      <c r="J123" s="207"/>
      <c r="K123" s="208"/>
    </row>
    <row r="124" spans="1:11" ht="12.75">
      <c r="A124" s="195" t="s">
        <v>207</v>
      </c>
      <c r="B124" s="196"/>
      <c r="C124" s="201" t="str">
        <f>IF(B118&lt;=1.5*B65,"A tensão longitudinal está Ok","A tensão longitudinal não passou")</f>
        <v>A tensão longitudinal está Ok</v>
      </c>
      <c r="D124" s="202"/>
      <c r="E124" s="202"/>
      <c r="F124" s="202"/>
      <c r="G124" s="202"/>
      <c r="H124" s="202"/>
      <c r="I124" s="202"/>
      <c r="J124" s="202"/>
      <c r="K124" s="203"/>
    </row>
    <row r="125" spans="1:11" ht="12.75">
      <c r="A125" s="197"/>
      <c r="B125" s="198"/>
      <c r="C125" s="201" t="str">
        <f>IF(B119&lt;=B65,"A tensão radial está Ok","A tensão radial não passou")</f>
        <v>A tensão radial está Ok</v>
      </c>
      <c r="D125" s="202"/>
      <c r="E125" s="202"/>
      <c r="F125" s="202"/>
      <c r="G125" s="202"/>
      <c r="H125" s="202"/>
      <c r="I125" s="202"/>
      <c r="J125" s="202"/>
      <c r="K125" s="203"/>
    </row>
    <row r="126" spans="1:11" ht="12.75">
      <c r="A126" s="197"/>
      <c r="B126" s="198"/>
      <c r="C126" s="201" t="str">
        <f>IF(B120&lt;=B65,"A tensão tangencial está Ok","A tensão tangencial não passou")</f>
        <v>A tensão tangencial está Ok</v>
      </c>
      <c r="D126" s="202"/>
      <c r="E126" s="202"/>
      <c r="F126" s="202"/>
      <c r="G126" s="202"/>
      <c r="H126" s="202"/>
      <c r="I126" s="202"/>
      <c r="J126" s="202"/>
      <c r="K126" s="203"/>
    </row>
    <row r="127" spans="1:11" ht="12.75">
      <c r="A127" s="197"/>
      <c r="B127" s="198"/>
      <c r="C127" s="201" t="str">
        <f>IF(C121&lt;=B65,"Ok, ((SHI+SRI)/2) é menor do que Sff","Não passou: ((SHI+SRI)/2) é maior do que Sff")</f>
        <v>Ok, ((SHI+SRI)/2) é menor do que Sff</v>
      </c>
      <c r="D127" s="202"/>
      <c r="E127" s="202"/>
      <c r="F127" s="202"/>
      <c r="G127" s="202"/>
      <c r="H127" s="202"/>
      <c r="I127" s="202"/>
      <c r="J127" s="202"/>
      <c r="K127" s="203"/>
    </row>
    <row r="128" spans="1:11" ht="12.75">
      <c r="A128" s="199"/>
      <c r="B128" s="200"/>
      <c r="C128" s="201" t="str">
        <f>IF(C122&lt;=B65,"Ok, ((SHI+STI)/2) é menor do que Sff","Não passou: ((SHI+STI)/2) é maior do que Sff")</f>
        <v>Ok, ((SHI+STI)/2) é menor do que Sff</v>
      </c>
      <c r="D128" s="202"/>
      <c r="E128" s="202"/>
      <c r="F128" s="202"/>
      <c r="G128" s="202"/>
      <c r="H128" s="202"/>
      <c r="I128" s="202"/>
      <c r="J128" s="202"/>
      <c r="K128" s="203"/>
    </row>
    <row r="129" spans="1:11" ht="12.75">
      <c r="A129" s="180" t="s">
        <v>208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7"/>
    </row>
    <row r="130" spans="1:11" ht="12.75">
      <c r="A130" s="162" t="s">
        <v>365</v>
      </c>
      <c r="B130" s="163"/>
      <c r="C130" s="163"/>
      <c r="D130" s="163"/>
      <c r="E130" s="163"/>
      <c r="F130" s="163"/>
      <c r="G130" s="163"/>
      <c r="H130" s="163"/>
      <c r="I130" s="163"/>
      <c r="J130" s="163"/>
      <c r="K130" s="164"/>
    </row>
    <row r="131" spans="1:11" ht="12.75">
      <c r="A131" s="165" t="s">
        <v>209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7"/>
    </row>
    <row r="132" spans="1:11" ht="12.75">
      <c r="A132" s="165" t="s">
        <v>210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7"/>
    </row>
    <row r="133" spans="1:11" ht="12.75">
      <c r="A133" s="168" t="s">
        <v>211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70"/>
    </row>
    <row r="134" spans="1:11" ht="12.75">
      <c r="A134" s="21" t="s">
        <v>212</v>
      </c>
      <c r="B134" s="31" t="s">
        <v>92</v>
      </c>
      <c r="C134" s="212" t="s">
        <v>213</v>
      </c>
      <c r="D134" s="213"/>
      <c r="E134" s="213"/>
      <c r="F134" s="213"/>
      <c r="G134" s="213"/>
      <c r="H134" s="213"/>
      <c r="I134" s="213"/>
      <c r="J134" s="213"/>
      <c r="K134" s="214"/>
    </row>
    <row r="135" spans="1:11" ht="12.75">
      <c r="A135" s="154" t="s">
        <v>214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6"/>
    </row>
    <row r="136" spans="1:11" ht="12.75">
      <c r="A136" s="10" t="s">
        <v>151</v>
      </c>
      <c r="B136" s="35">
        <f>+B79</f>
        <v>760330.7234875321</v>
      </c>
      <c r="C136" s="10" t="s">
        <v>215</v>
      </c>
      <c r="D136" s="16">
        <f>B136*0.1152124</f>
        <v>87599.52744673495</v>
      </c>
      <c r="E136" s="7" t="s">
        <v>57</v>
      </c>
      <c r="F136" s="171" t="s">
        <v>216</v>
      </c>
      <c r="G136" s="172"/>
      <c r="H136" s="172"/>
      <c r="I136" s="172"/>
      <c r="J136" s="172"/>
      <c r="K136" s="173"/>
    </row>
    <row r="137" spans="1:11" ht="18.75" customHeight="1">
      <c r="A137" s="10" t="s">
        <v>217</v>
      </c>
      <c r="B137" s="36">
        <f>(52.14*B136*B207)/(B221*B63*(B54^2)*B59*0.3)</f>
        <v>0.1322647771045252</v>
      </c>
      <c r="C137" s="13" t="s">
        <v>218</v>
      </c>
      <c r="D137" s="22">
        <f>B137</f>
        <v>0.1322647771045252</v>
      </c>
      <c r="E137" s="13" t="s">
        <v>218</v>
      </c>
      <c r="F137" s="174" t="s">
        <v>219</v>
      </c>
      <c r="G137" s="175"/>
      <c r="H137" s="175"/>
      <c r="I137" s="175"/>
      <c r="J137" s="175"/>
      <c r="K137" s="176"/>
    </row>
    <row r="138" spans="1:11" ht="21.75" customHeight="1">
      <c r="A138" s="1" t="s">
        <v>220</v>
      </c>
      <c r="B138" s="36">
        <f>(52.14*B136*B210)/(B222*B63*(B54^2)*B59*0.2)</f>
        <v>0.3374836253272283</v>
      </c>
      <c r="C138" s="2" t="s">
        <v>218</v>
      </c>
      <c r="D138" s="22">
        <f>B138</f>
        <v>0.3374836253272283</v>
      </c>
      <c r="E138" s="2" t="s">
        <v>218</v>
      </c>
      <c r="F138" s="148" t="s">
        <v>221</v>
      </c>
      <c r="G138" s="149"/>
      <c r="H138" s="149"/>
      <c r="I138" s="149"/>
      <c r="J138" s="149"/>
      <c r="K138" s="150"/>
    </row>
    <row r="139" spans="1:11" ht="18" customHeight="1">
      <c r="A139" s="10" t="s">
        <v>222</v>
      </c>
      <c r="B139" s="36">
        <f>(109.4*B136)/(B63*(B61^3)*(LN(B213))*0.2)</f>
        <v>1.9148173964684225</v>
      </c>
      <c r="C139" s="13" t="s">
        <v>218</v>
      </c>
      <c r="D139" s="22">
        <f>B139</f>
        <v>1.9148173964684225</v>
      </c>
      <c r="E139" s="13" t="s">
        <v>218</v>
      </c>
      <c r="F139" s="174" t="s">
        <v>223</v>
      </c>
      <c r="G139" s="175"/>
      <c r="H139" s="175"/>
      <c r="I139" s="175"/>
      <c r="J139" s="175"/>
      <c r="K139" s="176"/>
    </row>
    <row r="140" spans="1:11" ht="12.75">
      <c r="A140" s="1" t="s">
        <v>224</v>
      </c>
      <c r="B140" s="23">
        <f>IF(B134="a",B137,IF(B134="b",B138,IF(B134="c",B139)))</f>
        <v>0.1322647771045252</v>
      </c>
      <c r="C140" s="2" t="s">
        <v>14</v>
      </c>
      <c r="D140" s="22">
        <f>B140</f>
        <v>0.1322647771045252</v>
      </c>
      <c r="E140" s="2" t="s">
        <v>14</v>
      </c>
      <c r="F140" s="148" t="s">
        <v>225</v>
      </c>
      <c r="G140" s="149"/>
      <c r="H140" s="149"/>
      <c r="I140" s="149"/>
      <c r="J140" s="149"/>
      <c r="K140" s="150"/>
    </row>
    <row r="141" spans="1:11" ht="12.75" customHeight="1">
      <c r="A141" s="217" t="s">
        <v>226</v>
      </c>
      <c r="B141" s="218"/>
      <c r="C141" s="218"/>
      <c r="D141" s="218"/>
      <c r="E141" s="219"/>
      <c r="F141" s="220" t="str">
        <f>+IF(B140&lt;=1,"OK, os flanges tem rigidez suficiente","Reanalisar, os flanges não tem rigidez suficiente")</f>
        <v>OK, os flanges tem rigidez suficiente</v>
      </c>
      <c r="G141" s="221"/>
      <c r="H141" s="221"/>
      <c r="I141" s="221"/>
      <c r="J141" s="221"/>
      <c r="K141" s="222"/>
    </row>
    <row r="142" spans="1:11" ht="12.75">
      <c r="A142" s="154" t="s">
        <v>227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216"/>
    </row>
    <row r="143" spans="1:11" ht="12.75">
      <c r="A143" s="10" t="s">
        <v>176</v>
      </c>
      <c r="B143" s="35">
        <f>+B101</f>
        <v>2920144.102431786</v>
      </c>
      <c r="C143" s="10" t="s">
        <v>215</v>
      </c>
      <c r="D143" s="16">
        <f>B143*0.1152124</f>
        <v>336436.8103870119</v>
      </c>
      <c r="E143" s="7" t="s">
        <v>57</v>
      </c>
      <c r="F143" s="171" t="s">
        <v>228</v>
      </c>
      <c r="G143" s="172"/>
      <c r="H143" s="172"/>
      <c r="I143" s="172"/>
      <c r="J143" s="172"/>
      <c r="K143" s="173"/>
    </row>
    <row r="144" spans="1:11" ht="19.5" customHeight="1">
      <c r="A144" s="10" t="s">
        <v>217</v>
      </c>
      <c r="B144" s="36">
        <f>(52.14*B143*B207)/(B221*B63*(B54^2)*B59*0.3)</f>
        <v>0.5079792212652412</v>
      </c>
      <c r="C144" s="13" t="s">
        <v>218</v>
      </c>
      <c r="D144" s="22">
        <f>B144</f>
        <v>0.5079792212652412</v>
      </c>
      <c r="E144" s="13" t="s">
        <v>218</v>
      </c>
      <c r="F144" s="174" t="s">
        <v>219</v>
      </c>
      <c r="G144" s="175"/>
      <c r="H144" s="175"/>
      <c r="I144" s="175"/>
      <c r="J144" s="175"/>
      <c r="K144" s="176"/>
    </row>
    <row r="145" spans="1:11" ht="18" customHeight="1">
      <c r="A145" s="1" t="s">
        <v>220</v>
      </c>
      <c r="B145" s="36">
        <f>(52.14*B143*B210)/(B222*B63*(B54^2)*B59*0.2)</f>
        <v>1.2961475680559744</v>
      </c>
      <c r="C145" s="2" t="s">
        <v>218</v>
      </c>
      <c r="D145" s="22">
        <f>B145</f>
        <v>1.2961475680559744</v>
      </c>
      <c r="E145" s="2" t="s">
        <v>218</v>
      </c>
      <c r="F145" s="148" t="s">
        <v>221</v>
      </c>
      <c r="G145" s="149"/>
      <c r="H145" s="149"/>
      <c r="I145" s="149"/>
      <c r="J145" s="149"/>
      <c r="K145" s="150"/>
    </row>
    <row r="146" spans="1:11" ht="24.75" customHeight="1">
      <c r="A146" s="10" t="s">
        <v>222</v>
      </c>
      <c r="B146" s="36">
        <f>(109.4*B143)/(B63*(B61^3)*(LN(B213))*0.2)</f>
        <v>7.354092837237216</v>
      </c>
      <c r="C146" s="13" t="s">
        <v>218</v>
      </c>
      <c r="D146" s="22">
        <f>B146</f>
        <v>7.354092837237216</v>
      </c>
      <c r="E146" s="13" t="s">
        <v>218</v>
      </c>
      <c r="F146" s="174" t="s">
        <v>223</v>
      </c>
      <c r="G146" s="175"/>
      <c r="H146" s="175"/>
      <c r="I146" s="175"/>
      <c r="J146" s="175"/>
      <c r="K146" s="176"/>
    </row>
    <row r="147" spans="1:11" ht="12.75">
      <c r="A147" s="1" t="s">
        <v>224</v>
      </c>
      <c r="B147" s="23">
        <f>IF(B134="a",B144,IF(B134="b",B145,IF(B134="c",B146)))</f>
        <v>0.5079792212652412</v>
      </c>
      <c r="C147" s="2" t="s">
        <v>14</v>
      </c>
      <c r="D147" s="22">
        <f>B147</f>
        <v>0.5079792212652412</v>
      </c>
      <c r="E147" s="2" t="s">
        <v>14</v>
      </c>
      <c r="F147" s="148" t="s">
        <v>229</v>
      </c>
      <c r="G147" s="149"/>
      <c r="H147" s="149"/>
      <c r="I147" s="149"/>
      <c r="J147" s="149"/>
      <c r="K147" s="150"/>
    </row>
    <row r="148" spans="1:11" ht="12.75" customHeight="1">
      <c r="A148" s="217" t="s">
        <v>226</v>
      </c>
      <c r="B148" s="218"/>
      <c r="C148" s="218"/>
      <c r="D148" s="218"/>
      <c r="E148" s="219"/>
      <c r="F148" s="220" t="str">
        <f>+IF(B147&lt;=1,"OK, os flanges tem rigidez suficiente","Reanalisar, os flanges não tem rigidez suficiente")</f>
        <v>OK, os flanges tem rigidez suficiente</v>
      </c>
      <c r="G148" s="221"/>
      <c r="H148" s="221"/>
      <c r="I148" s="221"/>
      <c r="J148" s="221"/>
      <c r="K148" s="222"/>
    </row>
    <row r="149" spans="1:11" ht="12.75">
      <c r="A149" s="154" t="s">
        <v>230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6"/>
    </row>
    <row r="150" spans="1:11" ht="12.75">
      <c r="A150" s="10" t="s">
        <v>196</v>
      </c>
      <c r="B150" s="35">
        <f>+B117</f>
        <v>5745176.241223247</v>
      </c>
      <c r="C150" s="10" t="s">
        <v>215</v>
      </c>
      <c r="D150" s="16">
        <f>B150*0.1152124</f>
        <v>661915.5431743092</v>
      </c>
      <c r="E150" s="7" t="s">
        <v>57</v>
      </c>
      <c r="F150" s="171" t="s">
        <v>231</v>
      </c>
      <c r="G150" s="172"/>
      <c r="H150" s="172"/>
      <c r="I150" s="172"/>
      <c r="J150" s="172"/>
      <c r="K150" s="173"/>
    </row>
    <row r="151" spans="1:11" ht="24.75" customHeight="1">
      <c r="A151" s="10" t="s">
        <v>217</v>
      </c>
      <c r="B151" s="36">
        <f>(52.14*B150*B207)/(B221*B63*(B54^2)*B59*0.3)</f>
        <v>0.9994130599985775</v>
      </c>
      <c r="C151" s="13" t="s">
        <v>218</v>
      </c>
      <c r="D151" s="22">
        <f>B151</f>
        <v>0.9994130599985775</v>
      </c>
      <c r="E151" s="13" t="s">
        <v>218</v>
      </c>
      <c r="F151" s="174" t="s">
        <v>219</v>
      </c>
      <c r="G151" s="175"/>
      <c r="H151" s="175"/>
      <c r="I151" s="175"/>
      <c r="J151" s="175"/>
      <c r="K151" s="176"/>
    </row>
    <row r="152" spans="1:11" ht="18.75" customHeight="1">
      <c r="A152" s="1" t="s">
        <v>220</v>
      </c>
      <c r="B152" s="36">
        <f>(52.14*B150*B210)/(B222*B63*(B54^2)*B59*0.2)</f>
        <v>2.550078335830493</v>
      </c>
      <c r="C152" s="2" t="s">
        <v>218</v>
      </c>
      <c r="D152" s="22">
        <f>B152</f>
        <v>2.550078335830493</v>
      </c>
      <c r="E152" s="2" t="s">
        <v>218</v>
      </c>
      <c r="F152" s="148" t="s">
        <v>221</v>
      </c>
      <c r="G152" s="149"/>
      <c r="H152" s="149"/>
      <c r="I152" s="149"/>
      <c r="J152" s="149"/>
      <c r="K152" s="150"/>
    </row>
    <row r="153" spans="1:11" ht="21.75" customHeight="1">
      <c r="A153" s="10" t="s">
        <v>222</v>
      </c>
      <c r="B153" s="36">
        <f>(109.4*B150)/(B63*(B61^3)*(LN(B213))*0.2)</f>
        <v>14.468655642391292</v>
      </c>
      <c r="C153" s="13" t="s">
        <v>218</v>
      </c>
      <c r="D153" s="22">
        <f>B153</f>
        <v>14.468655642391292</v>
      </c>
      <c r="E153" s="13" t="s">
        <v>218</v>
      </c>
      <c r="F153" s="174" t="s">
        <v>223</v>
      </c>
      <c r="G153" s="175"/>
      <c r="H153" s="175"/>
      <c r="I153" s="175"/>
      <c r="J153" s="175"/>
      <c r="K153" s="176"/>
    </row>
    <row r="154" spans="1:11" ht="12.75">
      <c r="A154" s="1" t="s">
        <v>224</v>
      </c>
      <c r="B154" s="23">
        <f>IF(B134="a",B151,IF(B134="b",B152,IF(B134="c",B153)))</f>
        <v>0.9994130599985775</v>
      </c>
      <c r="C154" s="2" t="s">
        <v>14</v>
      </c>
      <c r="D154" s="22">
        <f>B154</f>
        <v>0.9994130599985775</v>
      </c>
      <c r="E154" s="2" t="s">
        <v>14</v>
      </c>
      <c r="F154" s="148" t="s">
        <v>232</v>
      </c>
      <c r="G154" s="149"/>
      <c r="H154" s="149"/>
      <c r="I154" s="149"/>
      <c r="J154" s="149"/>
      <c r="K154" s="150"/>
    </row>
    <row r="155" spans="1:11" ht="12.75" customHeight="1">
      <c r="A155" s="217" t="s">
        <v>226</v>
      </c>
      <c r="B155" s="218"/>
      <c r="C155" s="218"/>
      <c r="D155" s="218"/>
      <c r="E155" s="219"/>
      <c r="F155" s="220" t="str">
        <f>+IF(B154&lt;=1,"OK, os flanges tem rigidez suficiente","Reanalisar, os flanges não tem rigidez suficiente")</f>
        <v>OK, os flanges tem rigidez suficiente</v>
      </c>
      <c r="G155" s="221"/>
      <c r="H155" s="221"/>
      <c r="I155" s="221"/>
      <c r="J155" s="221"/>
      <c r="K155" s="222"/>
    </row>
    <row r="156" spans="1:11" ht="12.75">
      <c r="A156" s="217"/>
      <c r="B156" s="218"/>
      <c r="C156" s="218"/>
      <c r="D156" s="218"/>
      <c r="E156" s="218"/>
      <c r="F156" s="218"/>
      <c r="G156" s="218"/>
      <c r="H156" s="218"/>
      <c r="I156" s="218"/>
      <c r="J156" s="218"/>
      <c r="K156" s="219"/>
    </row>
    <row r="157" spans="1:11" ht="12.75">
      <c r="A157" s="217"/>
      <c r="B157" s="218"/>
      <c r="C157" s="218"/>
      <c r="D157" s="218"/>
      <c r="E157" s="218"/>
      <c r="F157" s="218"/>
      <c r="G157" s="218"/>
      <c r="H157" s="218"/>
      <c r="I157" s="218"/>
      <c r="J157" s="218"/>
      <c r="K157" s="219"/>
    </row>
    <row r="158" spans="1:11" ht="12.75">
      <c r="A158" s="223" t="s">
        <v>233</v>
      </c>
      <c r="B158" s="224"/>
      <c r="C158" s="224"/>
      <c r="D158" s="224"/>
      <c r="E158" s="224"/>
      <c r="F158" s="224"/>
      <c r="G158" s="224"/>
      <c r="H158" s="224"/>
      <c r="I158" s="224"/>
      <c r="J158" s="224"/>
      <c r="K158" s="225"/>
    </row>
    <row r="159" spans="1:11" ht="12.75">
      <c r="A159" s="1" t="s">
        <v>108</v>
      </c>
      <c r="B159" s="36">
        <f>(B56*B54)^0.5</f>
        <v>8.580716248076264</v>
      </c>
      <c r="C159" s="2" t="s">
        <v>47</v>
      </c>
      <c r="D159" s="24">
        <f>B159*25.4</f>
        <v>217.9501927011371</v>
      </c>
      <c r="E159" s="7" t="s">
        <v>2</v>
      </c>
      <c r="F159" s="148" t="s">
        <v>234</v>
      </c>
      <c r="G159" s="149"/>
      <c r="H159" s="149"/>
      <c r="I159" s="149"/>
      <c r="J159" s="149"/>
      <c r="K159" s="150"/>
    </row>
    <row r="160" spans="1:11" ht="12.75">
      <c r="A160" s="1" t="s">
        <v>235</v>
      </c>
      <c r="B160" s="36">
        <f>(B53/B54)-1</f>
        <v>0.9998984049578381</v>
      </c>
      <c r="C160" s="2" t="s">
        <v>218</v>
      </c>
      <c r="D160" s="22">
        <f aca="true" t="shared" si="1" ref="D160:D221">B160</f>
        <v>0.9998984049578381</v>
      </c>
      <c r="E160" s="2" t="s">
        <v>218</v>
      </c>
      <c r="F160" s="148" t="s">
        <v>236</v>
      </c>
      <c r="G160" s="149"/>
      <c r="H160" s="149"/>
      <c r="I160" s="149"/>
      <c r="J160" s="149"/>
      <c r="K160" s="150"/>
    </row>
    <row r="161" spans="1:11" ht="12.75">
      <c r="A161" s="1" t="s">
        <v>237</v>
      </c>
      <c r="B161" s="36">
        <f>B53/B54</f>
        <v>1.999898404957838</v>
      </c>
      <c r="C161" s="2" t="s">
        <v>218</v>
      </c>
      <c r="D161" s="22">
        <f t="shared" si="1"/>
        <v>1.999898404957838</v>
      </c>
      <c r="E161" s="2" t="s">
        <v>218</v>
      </c>
      <c r="F161" s="148" t="s">
        <v>237</v>
      </c>
      <c r="G161" s="149"/>
      <c r="H161" s="149"/>
      <c r="I161" s="149"/>
      <c r="J161" s="149"/>
      <c r="K161" s="150"/>
    </row>
    <row r="162" spans="1:11" ht="12.75">
      <c r="A162" s="1" t="s">
        <v>238</v>
      </c>
      <c r="B162" s="36">
        <f>B58/B159</f>
        <v>0.6882292607361269</v>
      </c>
      <c r="C162" s="2" t="s">
        <v>218</v>
      </c>
      <c r="D162" s="22">
        <f t="shared" si="1"/>
        <v>0.6882292607361269</v>
      </c>
      <c r="E162" s="2" t="s">
        <v>218</v>
      </c>
      <c r="F162" s="148" t="s">
        <v>238</v>
      </c>
      <c r="G162" s="149"/>
      <c r="H162" s="149"/>
      <c r="I162" s="149"/>
      <c r="J162" s="149"/>
      <c r="K162" s="150"/>
    </row>
    <row r="163" spans="1:11" ht="12.75">
      <c r="A163" s="1" t="s">
        <v>239</v>
      </c>
      <c r="B163" s="36">
        <f>43.68*((B162)^4)</f>
        <v>9.799753736829086</v>
      </c>
      <c r="C163" s="2" t="s">
        <v>218</v>
      </c>
      <c r="D163" s="22">
        <f t="shared" si="1"/>
        <v>9.799753736829086</v>
      </c>
      <c r="E163" s="2" t="s">
        <v>218</v>
      </c>
      <c r="F163" s="148" t="s">
        <v>240</v>
      </c>
      <c r="G163" s="149"/>
      <c r="H163" s="149"/>
      <c r="I163" s="149"/>
      <c r="J163" s="149"/>
      <c r="K163" s="150"/>
    </row>
    <row r="164" spans="1:11" ht="12.75">
      <c r="A164" s="1" t="s">
        <v>241</v>
      </c>
      <c r="B164" s="36">
        <f>0.333333333333333+(B160/12)</f>
        <v>0.41665820041315316</v>
      </c>
      <c r="C164" s="2" t="s">
        <v>218</v>
      </c>
      <c r="D164" s="22">
        <f t="shared" si="1"/>
        <v>0.41665820041315316</v>
      </c>
      <c r="E164" s="2" t="s">
        <v>218</v>
      </c>
      <c r="F164" s="148" t="s">
        <v>242</v>
      </c>
      <c r="G164" s="149"/>
      <c r="H164" s="149"/>
      <c r="I164" s="149"/>
      <c r="J164" s="149"/>
      <c r="K164" s="150"/>
    </row>
    <row r="165" spans="1:11" ht="12.75">
      <c r="A165" s="1" t="s">
        <v>243</v>
      </c>
      <c r="B165" s="36">
        <f>(0.119047619047619)+(17*B160/336)</f>
        <v>0.16963771691750962</v>
      </c>
      <c r="C165" s="2" t="s">
        <v>218</v>
      </c>
      <c r="D165" s="22">
        <f t="shared" si="1"/>
        <v>0.16963771691750962</v>
      </c>
      <c r="E165" s="2" t="s">
        <v>218</v>
      </c>
      <c r="F165" s="148" t="s">
        <v>244</v>
      </c>
      <c r="G165" s="149"/>
      <c r="H165" s="149"/>
      <c r="I165" s="149"/>
      <c r="J165" s="149"/>
      <c r="K165" s="150"/>
    </row>
    <row r="166" spans="1:11" ht="12.75">
      <c r="A166" s="1" t="s">
        <v>245</v>
      </c>
      <c r="B166" s="36">
        <f>(0.00476190476190476)+(B160/360)</f>
        <v>0.007539400331232088</v>
      </c>
      <c r="C166" s="2" t="s">
        <v>218</v>
      </c>
      <c r="D166" s="22">
        <f t="shared" si="1"/>
        <v>0.007539400331232088</v>
      </c>
      <c r="E166" s="2" t="s">
        <v>218</v>
      </c>
      <c r="F166" s="148" t="s">
        <v>246</v>
      </c>
      <c r="G166" s="149"/>
      <c r="H166" s="149"/>
      <c r="I166" s="149"/>
      <c r="J166" s="149"/>
      <c r="K166" s="150"/>
    </row>
    <row r="167" spans="1:11" ht="12.75">
      <c r="A167" s="1" t="s">
        <v>247</v>
      </c>
      <c r="B167" s="36">
        <f>(0.0305555555555556)+(59*B160/5040)+((1+(3*B160))/B163)</f>
        <v>0.4504031364059129</v>
      </c>
      <c r="C167" s="2" t="s">
        <v>218</v>
      </c>
      <c r="D167" s="22">
        <f t="shared" si="1"/>
        <v>0.4504031364059129</v>
      </c>
      <c r="E167" s="2" t="s">
        <v>218</v>
      </c>
      <c r="F167" s="148" t="s">
        <v>248</v>
      </c>
      <c r="G167" s="149"/>
      <c r="H167" s="149"/>
      <c r="I167" s="149"/>
      <c r="J167" s="149"/>
      <c r="K167" s="150"/>
    </row>
    <row r="168" spans="1:11" ht="12.75">
      <c r="A168" s="1" t="s">
        <v>249</v>
      </c>
      <c r="B168" s="36">
        <f>(0.0111111111111111)+(5*B160/1008)-(((1+B160)^3)/B163)</f>
        <v>-0.8001517209843967</v>
      </c>
      <c r="C168" s="2" t="s">
        <v>218</v>
      </c>
      <c r="D168" s="22">
        <f t="shared" si="1"/>
        <v>-0.8001517209843967</v>
      </c>
      <c r="E168" s="2" t="s">
        <v>218</v>
      </c>
      <c r="F168" s="148" t="s">
        <v>250</v>
      </c>
      <c r="G168" s="149"/>
      <c r="H168" s="149"/>
      <c r="I168" s="149"/>
      <c r="J168" s="149"/>
      <c r="K168" s="150"/>
    </row>
    <row r="169" spans="1:11" ht="12.75">
      <c r="A169" s="1" t="s">
        <v>251</v>
      </c>
      <c r="B169" s="36">
        <f>(0.00833333333333333)+(17*B160/5040)+(1/B163)</f>
        <v>0.11374938708858473</v>
      </c>
      <c r="C169" s="2" t="s">
        <v>218</v>
      </c>
      <c r="D169" s="22">
        <f t="shared" si="1"/>
        <v>0.11374938708858473</v>
      </c>
      <c r="E169" s="2" t="s">
        <v>218</v>
      </c>
      <c r="F169" s="148" t="s">
        <v>252</v>
      </c>
      <c r="G169" s="149"/>
      <c r="H169" s="149"/>
      <c r="I169" s="149"/>
      <c r="J169" s="149"/>
      <c r="K169" s="150"/>
    </row>
    <row r="170" spans="1:11" ht="12.75">
      <c r="A170" s="1" t="s">
        <v>253</v>
      </c>
      <c r="B170" s="36">
        <f>(0.0775613275613276)+(51*B160/1232)+((8.57142857142857)+(225*B160/14)+(75*(B160^2)/7)+(5*(B160^3)/2))/B163</f>
        <v>3.9815575610669027</v>
      </c>
      <c r="C170" s="2" t="s">
        <v>218</v>
      </c>
      <c r="D170" s="22">
        <f t="shared" si="1"/>
        <v>3.9815575610669027</v>
      </c>
      <c r="E170" s="2" t="s">
        <v>218</v>
      </c>
      <c r="F170" s="148" t="s">
        <v>254</v>
      </c>
      <c r="G170" s="149"/>
      <c r="H170" s="149"/>
      <c r="I170" s="149"/>
      <c r="J170" s="149"/>
      <c r="K170" s="150"/>
    </row>
    <row r="171" spans="1:11" ht="12.75">
      <c r="A171" s="1" t="s">
        <v>255</v>
      </c>
      <c r="B171" s="36">
        <f>(0.00447330447330447)+(128*B160/45045)+((0.857142857142857+15*B160/7)+((12*(B160^2))/7)+((5*(B160^3))/11))/B163</f>
        <v>0.534687731373183</v>
      </c>
      <c r="C171" s="2" t="s">
        <v>218</v>
      </c>
      <c r="D171" s="22">
        <f t="shared" si="1"/>
        <v>0.534687731373183</v>
      </c>
      <c r="E171" s="2" t="s">
        <v>218</v>
      </c>
      <c r="F171" s="148" t="s">
        <v>256</v>
      </c>
      <c r="G171" s="149"/>
      <c r="H171" s="149"/>
      <c r="I171" s="149"/>
      <c r="J171" s="149"/>
      <c r="K171" s="150"/>
    </row>
    <row r="172" spans="1:11" ht="12.75">
      <c r="A172" s="1" t="s">
        <v>257</v>
      </c>
      <c r="B172" s="36">
        <f>(533/30240)+(653*B160/73920)+((0.5)+(33*B160/14)+(39*(B160^2)/28)+(25*(B160^3)/84))/B163</f>
        <v>0.4904504890370906</v>
      </c>
      <c r="C172" s="2" t="s">
        <v>218</v>
      </c>
      <c r="D172" s="22">
        <f t="shared" si="1"/>
        <v>0.4904504890370906</v>
      </c>
      <c r="E172" s="2" t="s">
        <v>218</v>
      </c>
      <c r="F172" s="148" t="s">
        <v>258</v>
      </c>
      <c r="G172" s="149"/>
      <c r="H172" s="149"/>
      <c r="I172" s="149"/>
      <c r="J172" s="149"/>
      <c r="K172" s="150"/>
    </row>
    <row r="173" spans="1:11" ht="12.75">
      <c r="A173" s="1" t="s">
        <v>259</v>
      </c>
      <c r="B173" s="36">
        <f>(0.00767195767195767)+(3*B160/704)-((0.5+33*B160/14)+(81*(B160^2)/28)+(13*(B160^3)/12))/B163</f>
        <v>-0.6852454410414585</v>
      </c>
      <c r="C173" s="2" t="s">
        <v>218</v>
      </c>
      <c r="D173" s="22">
        <f t="shared" si="1"/>
        <v>-0.6852454410414585</v>
      </c>
      <c r="E173" s="2" t="s">
        <v>218</v>
      </c>
      <c r="F173" s="148" t="s">
        <v>260</v>
      </c>
      <c r="G173" s="149"/>
      <c r="H173" s="149"/>
      <c r="I173" s="149"/>
      <c r="J173" s="149"/>
      <c r="K173" s="150"/>
    </row>
    <row r="174" spans="1:11" ht="12.75">
      <c r="A174" s="1" t="s">
        <v>261</v>
      </c>
      <c r="B174" s="36">
        <f>(0.00512566137566138)+(1763*B160/665280)+((0.5)+(6*B160/7)+(15*(B160^2)/28)+(5*(B160^3)/42))/B163</f>
        <v>0.21305327215828085</v>
      </c>
      <c r="C174" s="2" t="s">
        <v>218</v>
      </c>
      <c r="D174" s="22">
        <f t="shared" si="1"/>
        <v>0.21305327215828085</v>
      </c>
      <c r="E174" s="2" t="s">
        <v>218</v>
      </c>
      <c r="F174" s="148" t="s">
        <v>262</v>
      </c>
      <c r="G174" s="149"/>
      <c r="H174" s="149"/>
      <c r="I174" s="149"/>
      <c r="J174" s="149"/>
      <c r="K174" s="150"/>
    </row>
    <row r="175" spans="1:11" ht="12.75">
      <c r="A175" s="1" t="s">
        <v>263</v>
      </c>
      <c r="B175" s="36">
        <f>(0.000341880341880342)+(71*B160/300300)+((0.228571428571429)+(18*B160/35)+(156*(B160^2)/385)+(6*(B160^3)/55))/B163</f>
        <v>0.12884426841106564</v>
      </c>
      <c r="C175" s="2" t="s">
        <v>218</v>
      </c>
      <c r="D175" s="22">
        <f t="shared" si="1"/>
        <v>0.12884426841106564</v>
      </c>
      <c r="E175" s="2" t="s">
        <v>218</v>
      </c>
      <c r="F175" s="148" t="s">
        <v>264</v>
      </c>
      <c r="G175" s="149"/>
      <c r="H175" s="149"/>
      <c r="I175" s="149"/>
      <c r="J175" s="149"/>
      <c r="K175" s="150"/>
    </row>
    <row r="176" spans="1:11" ht="12.75">
      <c r="A176" s="1" t="s">
        <v>265</v>
      </c>
      <c r="B176" s="36">
        <f>(761/831600)+(937*B160/1663200)+((0.0285714285714286)+(6*B160/35)+(11*(B160^2)/70)+(3*(B160^3)/70))/B163</f>
        <v>0.04228940215680396</v>
      </c>
      <c r="C176" s="2" t="s">
        <v>218</v>
      </c>
      <c r="D176" s="22">
        <f t="shared" si="1"/>
        <v>0.04228940215680396</v>
      </c>
      <c r="E176" s="2" t="s">
        <v>218</v>
      </c>
      <c r="F176" s="148" t="s">
        <v>266</v>
      </c>
      <c r="G176" s="149"/>
      <c r="H176" s="149"/>
      <c r="I176" s="149"/>
      <c r="J176" s="149"/>
      <c r="K176" s="150"/>
    </row>
    <row r="177" spans="1:11" ht="12.75">
      <c r="A177" s="1" t="s">
        <v>267</v>
      </c>
      <c r="B177" s="36">
        <f>(197/415800)+(103*B160/332640)-((1/35)+(6*B160/35)+(17*(B160^2)/70)+((B160^3)/10))/B163</f>
        <v>-0.054601657719841296</v>
      </c>
      <c r="C177" s="2" t="s">
        <v>218</v>
      </c>
      <c r="D177" s="22">
        <f t="shared" si="1"/>
        <v>-0.054601657719841296</v>
      </c>
      <c r="E177" s="2" t="s">
        <v>218</v>
      </c>
      <c r="F177" s="148" t="s">
        <v>268</v>
      </c>
      <c r="G177" s="149"/>
      <c r="H177" s="149"/>
      <c r="I177" s="149"/>
      <c r="J177" s="149"/>
      <c r="K177" s="150"/>
    </row>
    <row r="178" spans="1:11" ht="12.75">
      <c r="A178" s="1" t="s">
        <v>269</v>
      </c>
      <c r="B178" s="36">
        <f>(233/831600)+(97*B160/554400)+((0.0285714285714286)+(3*B160/35)+((B160^2)/14)+(2*(B160^3)/105))/B163</f>
        <v>0.021346764008693488</v>
      </c>
      <c r="C178" s="2" t="s">
        <v>218</v>
      </c>
      <c r="D178" s="22">
        <f t="shared" si="1"/>
        <v>0.021346764008693488</v>
      </c>
      <c r="E178" s="2" t="s">
        <v>218</v>
      </c>
      <c r="F178" s="148" t="s">
        <v>270</v>
      </c>
      <c r="G178" s="149"/>
      <c r="H178" s="149"/>
      <c r="I178" s="149"/>
      <c r="J178" s="149"/>
      <c r="K178" s="150"/>
    </row>
    <row r="179" spans="1:11" ht="12.75">
      <c r="A179" s="1" t="s">
        <v>271</v>
      </c>
      <c r="B179" s="36">
        <f>(B164*B170*B175)+(B165*B171*B166)+(B166*B171*B165)-(((B166^2)*B170)+((B171^2)*B164)+((B165^2)*B175))</f>
        <v>0.09206083058604557</v>
      </c>
      <c r="C179" s="2" t="s">
        <v>218</v>
      </c>
      <c r="D179" s="22">
        <f t="shared" si="1"/>
        <v>0.09206083058604557</v>
      </c>
      <c r="E179" s="2" t="s">
        <v>218</v>
      </c>
      <c r="F179" s="148" t="s">
        <v>272</v>
      </c>
      <c r="G179" s="149"/>
      <c r="H179" s="149"/>
      <c r="I179" s="149"/>
      <c r="J179" s="149"/>
      <c r="K179" s="150"/>
    </row>
    <row r="180" spans="1:11" ht="12.75">
      <c r="A180" s="1" t="s">
        <v>273</v>
      </c>
      <c r="B180" s="36">
        <f>((B167*B170*B175)+(B165*B171*B176)+(B166*B171*B172)-((B176*B170*B166)+((B171^2)*B167)+(B175*B165*B172)))/B179</f>
        <v>1.0440351592309582</v>
      </c>
      <c r="C180" s="2" t="s">
        <v>218</v>
      </c>
      <c r="D180" s="22">
        <f t="shared" si="1"/>
        <v>1.0440351592309582</v>
      </c>
      <c r="E180" s="2" t="s">
        <v>218</v>
      </c>
      <c r="F180" s="148" t="s">
        <v>274</v>
      </c>
      <c r="G180" s="149"/>
      <c r="H180" s="149"/>
      <c r="I180" s="149"/>
      <c r="J180" s="149"/>
      <c r="K180" s="150"/>
    </row>
    <row r="181" spans="1:11" ht="12.75">
      <c r="A181" s="1" t="s">
        <v>275</v>
      </c>
      <c r="B181" s="36">
        <f>((B168*B170*B175)+(B165*B171*B177)+(B166*B171*B173)-((B177*B170*B166)+((B171^2)*B168)+(B175*B165*B173)))/B179</f>
        <v>-1.8772471728107643</v>
      </c>
      <c r="C181" s="2" t="s">
        <v>218</v>
      </c>
      <c r="D181" s="22">
        <f t="shared" si="1"/>
        <v>-1.8772471728107643</v>
      </c>
      <c r="E181" s="2" t="s">
        <v>218</v>
      </c>
      <c r="F181" s="148" t="s">
        <v>276</v>
      </c>
      <c r="G181" s="149"/>
      <c r="H181" s="149"/>
      <c r="I181" s="149"/>
      <c r="J181" s="149"/>
      <c r="K181" s="150"/>
    </row>
    <row r="182" spans="1:11" ht="12.75">
      <c r="A182" s="1" t="s">
        <v>277</v>
      </c>
      <c r="B182" s="36">
        <f>((B169*B170*B175)+(B165*B171*B178)+(B166*B171*B174)-((B178*B170*B166)+((B171^2)*B169)+(B175*B165*B174)))/B179</f>
        <v>0.2534327091018506</v>
      </c>
      <c r="C182" s="2" t="s">
        <v>218</v>
      </c>
      <c r="D182" s="22">
        <f t="shared" si="1"/>
        <v>0.2534327091018506</v>
      </c>
      <c r="E182" s="2" t="s">
        <v>218</v>
      </c>
      <c r="F182" s="148" t="s">
        <v>278</v>
      </c>
      <c r="G182" s="149"/>
      <c r="H182" s="149"/>
      <c r="I182" s="149"/>
      <c r="J182" s="149"/>
      <c r="K182" s="150"/>
    </row>
    <row r="183" spans="1:11" ht="12.75">
      <c r="A183" s="1" t="s">
        <v>279</v>
      </c>
      <c r="B183" s="36">
        <f>((B164*B172*B175)+(B167*B171*B166)+(B166*B176*B165)-(((B166^2)*B172)+(B176*B171*B164)+(B175*B167*B165)))/B179</f>
        <v>0.09673525041737932</v>
      </c>
      <c r="C183" s="2" t="s">
        <v>218</v>
      </c>
      <c r="D183" s="22">
        <f t="shared" si="1"/>
        <v>0.09673525041737932</v>
      </c>
      <c r="E183" s="2" t="s">
        <v>218</v>
      </c>
      <c r="F183" s="148" t="s">
        <v>280</v>
      </c>
      <c r="G183" s="149"/>
      <c r="H183" s="149"/>
      <c r="I183" s="149"/>
      <c r="J183" s="149"/>
      <c r="K183" s="150"/>
    </row>
    <row r="184" spans="1:11" ht="12.75">
      <c r="A184" s="1" t="s">
        <v>281</v>
      </c>
      <c r="B184" s="36">
        <f>((B164*B173*B175)+(B168*B171*B166)+(B166*B177*B165)-(((B166^2)*B173)+(B177*B171*B164)+(B175*B168*B165)))/B179</f>
        <v>-0.1128617077396268</v>
      </c>
      <c r="C184" s="2" t="s">
        <v>218</v>
      </c>
      <c r="D184" s="22">
        <f t="shared" si="1"/>
        <v>-0.1128617077396268</v>
      </c>
      <c r="E184" s="2" t="s">
        <v>218</v>
      </c>
      <c r="F184" s="148" t="s">
        <v>282</v>
      </c>
      <c r="G184" s="149"/>
      <c r="H184" s="149"/>
      <c r="I184" s="149"/>
      <c r="J184" s="149"/>
      <c r="K184" s="150"/>
    </row>
    <row r="185" spans="1:11" ht="12.75">
      <c r="A185" s="1" t="s">
        <v>283</v>
      </c>
      <c r="B185" s="36">
        <f>((B164*B174*B175)+(B169*B171*B166)+(B166*B178*B165)-(((B166^2)*B174)+(B178*B171*B164)+(B175*B169*B165)))/B179</f>
        <v>0.050721013339062114</v>
      </c>
      <c r="C185" s="2" t="s">
        <v>218</v>
      </c>
      <c r="D185" s="22">
        <f t="shared" si="1"/>
        <v>0.050721013339062114</v>
      </c>
      <c r="E185" s="2" t="s">
        <v>218</v>
      </c>
      <c r="F185" s="148" t="s">
        <v>284</v>
      </c>
      <c r="G185" s="149"/>
      <c r="H185" s="149"/>
      <c r="I185" s="149"/>
      <c r="J185" s="149"/>
      <c r="K185" s="150"/>
    </row>
    <row r="186" spans="1:11" ht="12.75">
      <c r="A186" s="1" t="s">
        <v>285</v>
      </c>
      <c r="B186" s="36">
        <f>((B164*B170*B176)+(B165*B172*B166)+(B167*B171*B165)-((B166*B170*B167)+(B171*B172*B164)+((B165^2)*B176)))/B179</f>
        <v>-0.13431058029523424</v>
      </c>
      <c r="C186" s="2" t="s">
        <v>218</v>
      </c>
      <c r="D186" s="22">
        <f t="shared" si="1"/>
        <v>-0.13431058029523424</v>
      </c>
      <c r="E186" s="2" t="s">
        <v>218</v>
      </c>
      <c r="F186" s="148" t="s">
        <v>286</v>
      </c>
      <c r="G186" s="149"/>
      <c r="H186" s="149"/>
      <c r="I186" s="149"/>
      <c r="J186" s="149"/>
      <c r="K186" s="150"/>
    </row>
    <row r="187" spans="1:11" ht="12.75">
      <c r="A187" s="1" t="s">
        <v>287</v>
      </c>
      <c r="B187" s="36">
        <f>((B164*B170*B177)+(B165*B173*B166)+(B168*B171*B165)-((B166*B170*B168)+(B171*B173*B164)+((B165^2)*B177)))/B179</f>
        <v>0.1544300802219311</v>
      </c>
      <c r="C187" s="2" t="s">
        <v>218</v>
      </c>
      <c r="D187" s="22">
        <f t="shared" si="1"/>
        <v>0.1544300802219311</v>
      </c>
      <c r="E187" s="2" t="s">
        <v>218</v>
      </c>
      <c r="F187" s="148" t="s">
        <v>288</v>
      </c>
      <c r="G187" s="149"/>
      <c r="H187" s="149"/>
      <c r="I187" s="149"/>
      <c r="J187" s="149"/>
      <c r="K187" s="150"/>
    </row>
    <row r="188" spans="1:11" ht="12.75">
      <c r="A188" s="1" t="s">
        <v>289</v>
      </c>
      <c r="B188" s="36">
        <f>((B164*B170*B178)+(B165*B174*B166)+(B169*B171*B165)-((B166*B170*B169)+(B171*B174*B164)+((B165^2)*B178)))/B179</f>
        <v>-0.05963688018276026</v>
      </c>
      <c r="C188" s="2" t="s">
        <v>218</v>
      </c>
      <c r="D188" s="22">
        <f t="shared" si="1"/>
        <v>-0.05963688018276026</v>
      </c>
      <c r="E188" s="2" t="s">
        <v>218</v>
      </c>
      <c r="F188" s="148" t="s">
        <v>290</v>
      </c>
      <c r="G188" s="149"/>
      <c r="H188" s="149"/>
      <c r="I188" s="149"/>
      <c r="J188" s="149"/>
      <c r="K188" s="150"/>
    </row>
    <row r="189" spans="1:11" ht="12.75">
      <c r="A189" s="1" t="s">
        <v>291</v>
      </c>
      <c r="B189" s="36">
        <f>-(1)*((B163/4)^0.25)</f>
        <v>-1.2510906912191506</v>
      </c>
      <c r="C189" s="2" t="s">
        <v>218</v>
      </c>
      <c r="D189" s="22">
        <f t="shared" si="1"/>
        <v>-1.2510906912191506</v>
      </c>
      <c r="E189" s="2" t="s">
        <v>218</v>
      </c>
      <c r="F189" s="148" t="s">
        <v>292</v>
      </c>
      <c r="G189" s="149"/>
      <c r="H189" s="149"/>
      <c r="I189" s="149"/>
      <c r="J189" s="149"/>
      <c r="K189" s="150"/>
    </row>
    <row r="190" spans="1:11" ht="12.75">
      <c r="A190" s="1" t="s">
        <v>293</v>
      </c>
      <c r="B190" s="36">
        <f>B183-B180-(0.416666666666667)+(B180*B189)</f>
        <v>-2.6701492444996013</v>
      </c>
      <c r="C190" s="2" t="s">
        <v>218</v>
      </c>
      <c r="D190" s="22">
        <f t="shared" si="1"/>
        <v>-2.6701492444996013</v>
      </c>
      <c r="E190" s="2" t="s">
        <v>218</v>
      </c>
      <c r="F190" s="148" t="s">
        <v>294</v>
      </c>
      <c r="G190" s="149"/>
      <c r="H190" s="149"/>
      <c r="I190" s="149"/>
      <c r="J190" s="149"/>
      <c r="K190" s="150"/>
    </row>
    <row r="191" spans="1:11" ht="12.75">
      <c r="A191" s="1" t="s">
        <v>295</v>
      </c>
      <c r="B191" s="36">
        <f>B185-B182-(0.0833333333333333)+(B182*B189)</f>
        <v>-0.603112332303898</v>
      </c>
      <c r="C191" s="2" t="s">
        <v>218</v>
      </c>
      <c r="D191" s="22">
        <f t="shared" si="1"/>
        <v>-0.603112332303898</v>
      </c>
      <c r="E191" s="2" t="s">
        <v>218</v>
      </c>
      <c r="F191" s="148" t="s">
        <v>296</v>
      </c>
      <c r="G191" s="149"/>
      <c r="H191" s="149"/>
      <c r="I191" s="149"/>
      <c r="J191" s="149"/>
      <c r="K191" s="150"/>
    </row>
    <row r="192" spans="1:11" ht="12.75">
      <c r="A192" s="1" t="s">
        <v>297</v>
      </c>
      <c r="B192" s="36">
        <f>(-1)*((B163/4)^0.5)</f>
        <v>-1.5652279176552122</v>
      </c>
      <c r="C192" s="2" t="s">
        <v>218</v>
      </c>
      <c r="D192" s="22">
        <f t="shared" si="1"/>
        <v>-1.5652279176552122</v>
      </c>
      <c r="E192" s="2" t="s">
        <v>218</v>
      </c>
      <c r="F192" s="148" t="s">
        <v>298</v>
      </c>
      <c r="G192" s="149"/>
      <c r="H192" s="149"/>
      <c r="I192" s="149"/>
      <c r="J192" s="149"/>
      <c r="K192" s="150"/>
    </row>
    <row r="193" spans="1:11" ht="12.75">
      <c r="A193" s="1" t="s">
        <v>299</v>
      </c>
      <c r="B193" s="36">
        <f>(-1)*((B163/4)^(3/4))</f>
        <v>-1.9582420774147713</v>
      </c>
      <c r="C193" s="2" t="s">
        <v>218</v>
      </c>
      <c r="D193" s="22">
        <f t="shared" si="1"/>
        <v>-1.9582420774147713</v>
      </c>
      <c r="E193" s="2" t="s">
        <v>218</v>
      </c>
      <c r="F193" s="148" t="s">
        <v>300</v>
      </c>
      <c r="G193" s="149"/>
      <c r="H193" s="149"/>
      <c r="I193" s="149"/>
      <c r="J193" s="149"/>
      <c r="K193" s="150"/>
    </row>
    <row r="194" spans="1:11" ht="12.75">
      <c r="A194" s="1" t="s">
        <v>301</v>
      </c>
      <c r="B194" s="36">
        <f>(3*B160/2)-(B180*B193)</f>
        <v>3.5443211865432507</v>
      </c>
      <c r="C194" s="2" t="s">
        <v>218</v>
      </c>
      <c r="D194" s="22">
        <f t="shared" si="1"/>
        <v>3.5443211865432507</v>
      </c>
      <c r="E194" s="2" t="s">
        <v>218</v>
      </c>
      <c r="F194" s="148" t="s">
        <v>302</v>
      </c>
      <c r="G194" s="149"/>
      <c r="H194" s="149"/>
      <c r="I194" s="149"/>
      <c r="J194" s="149"/>
      <c r="K194" s="150"/>
    </row>
    <row r="195" spans="1:11" ht="12.75">
      <c r="A195" s="1" t="s">
        <v>303</v>
      </c>
      <c r="B195" s="36">
        <f>0.5-(B182*B193)</f>
        <v>0.9962825947564613</v>
      </c>
      <c r="C195" s="2" t="s">
        <v>218</v>
      </c>
      <c r="D195" s="22">
        <f t="shared" si="1"/>
        <v>0.9962825947564613</v>
      </c>
      <c r="E195" s="2" t="s">
        <v>218</v>
      </c>
      <c r="F195" s="148" t="s">
        <v>304</v>
      </c>
      <c r="G195" s="149"/>
      <c r="H195" s="149"/>
      <c r="I195" s="149"/>
      <c r="J195" s="149"/>
      <c r="K195" s="150"/>
    </row>
    <row r="196" spans="1:11" ht="12.75">
      <c r="A196" s="1" t="s">
        <v>305</v>
      </c>
      <c r="B196" s="36">
        <f>(0.5*B189*B195)+(B191*B194*B192)-((0.5*B193*B191)+(B195*B190*B192))</f>
        <v>-2.031727084653645</v>
      </c>
      <c r="C196" s="2" t="s">
        <v>218</v>
      </c>
      <c r="D196" s="22">
        <f t="shared" si="1"/>
        <v>-2.031727084653645</v>
      </c>
      <c r="E196" s="2" t="s">
        <v>218</v>
      </c>
      <c r="F196" s="148" t="s">
        <v>306</v>
      </c>
      <c r="G196" s="149"/>
      <c r="H196" s="149"/>
      <c r="I196" s="149"/>
      <c r="J196" s="149"/>
      <c r="K196" s="150"/>
    </row>
    <row r="197" spans="1:11" ht="12.75">
      <c r="A197" s="1" t="s">
        <v>307</v>
      </c>
      <c r="B197" s="36">
        <f>0.0833333333333333+B181-B184-(B181*B189)</f>
        <v>-4.0296585947588195</v>
      </c>
      <c r="C197" s="2" t="s">
        <v>218</v>
      </c>
      <c r="D197" s="22">
        <f t="shared" si="1"/>
        <v>-4.0296585947588195</v>
      </c>
      <c r="E197" s="2" t="s">
        <v>218</v>
      </c>
      <c r="F197" s="148" t="s">
        <v>308</v>
      </c>
      <c r="G197" s="149"/>
      <c r="H197" s="149"/>
      <c r="I197" s="149"/>
      <c r="J197" s="149"/>
      <c r="K197" s="150"/>
    </row>
    <row r="198" spans="1:11" ht="14.25" customHeight="1">
      <c r="A198" s="1" t="s">
        <v>309</v>
      </c>
      <c r="B198" s="36">
        <f>(-1)*B181*((B163/4)^0.75)</f>
        <v>3.676104403505957</v>
      </c>
      <c r="C198" s="2" t="s">
        <v>218</v>
      </c>
      <c r="D198" s="22">
        <f t="shared" si="1"/>
        <v>3.676104403505957</v>
      </c>
      <c r="E198" s="2" t="s">
        <v>218</v>
      </c>
      <c r="F198" s="148" t="s">
        <v>310</v>
      </c>
      <c r="G198" s="149"/>
      <c r="H198" s="149"/>
      <c r="I198" s="149"/>
      <c r="J198" s="149"/>
      <c r="K198" s="150"/>
    </row>
    <row r="199" spans="1:11" ht="12.75">
      <c r="A199" s="1" t="s">
        <v>311</v>
      </c>
      <c r="B199" s="36">
        <f>((B191*B198*B192)-(B195*B197*B192))/B196</f>
        <v>1.3848386989909711</v>
      </c>
      <c r="C199" s="2" t="s">
        <v>218</v>
      </c>
      <c r="D199" s="22">
        <f t="shared" si="1"/>
        <v>1.3848386989909711</v>
      </c>
      <c r="E199" s="2" t="s">
        <v>218</v>
      </c>
      <c r="F199" s="148" t="s">
        <v>312</v>
      </c>
      <c r="G199" s="149"/>
      <c r="H199" s="149"/>
      <c r="I199" s="149"/>
      <c r="J199" s="149"/>
      <c r="K199" s="150"/>
    </row>
    <row r="200" spans="1:11" ht="12.75">
      <c r="A200" s="1" t="s">
        <v>313</v>
      </c>
      <c r="B200" s="36">
        <f>((0.5*B189*B198)+(B197*B194*B192)-((0.5*B193*B197)+(B198*B190*B192)))/B196</f>
        <v>-0.3672947180095648</v>
      </c>
      <c r="C200" s="2" t="s">
        <v>218</v>
      </c>
      <c r="D200" s="22">
        <f t="shared" si="1"/>
        <v>-0.3672947180095648</v>
      </c>
      <c r="E200" s="2" t="s">
        <v>218</v>
      </c>
      <c r="F200" s="148" t="s">
        <v>314</v>
      </c>
      <c r="G200" s="149"/>
      <c r="H200" s="149"/>
      <c r="I200" s="149"/>
      <c r="J200" s="149"/>
      <c r="K200" s="150"/>
    </row>
    <row r="201" spans="1:11" ht="12.75">
      <c r="A201" s="1" t="s">
        <v>315</v>
      </c>
      <c r="B201" s="36">
        <f>(B180*B199)+B181+(B182*B200)</f>
        <v>-0.5245113766244969</v>
      </c>
      <c r="C201" s="2" t="s">
        <v>218</v>
      </c>
      <c r="D201" s="22">
        <f t="shared" si="1"/>
        <v>-0.5245113766244969</v>
      </c>
      <c r="E201" s="2" t="s">
        <v>218</v>
      </c>
      <c r="F201" s="148" t="s">
        <v>316</v>
      </c>
      <c r="G201" s="149"/>
      <c r="H201" s="149"/>
      <c r="I201" s="149"/>
      <c r="J201" s="149"/>
      <c r="K201" s="150"/>
    </row>
    <row r="202" spans="1:11" ht="12.75">
      <c r="A202" s="1" t="s">
        <v>317</v>
      </c>
      <c r="B202" s="36">
        <f>(B183*B199)+B184+(B185*B200)</f>
        <v>0.002471450303412389</v>
      </c>
      <c r="C202" s="2" t="s">
        <v>218</v>
      </c>
      <c r="D202" s="22">
        <f t="shared" si="1"/>
        <v>0.002471450303412389</v>
      </c>
      <c r="E202" s="2" t="s">
        <v>218</v>
      </c>
      <c r="F202" s="148" t="s">
        <v>318</v>
      </c>
      <c r="G202" s="149"/>
      <c r="H202" s="149"/>
      <c r="I202" s="149"/>
      <c r="J202" s="149"/>
      <c r="K202" s="150"/>
    </row>
    <row r="203" spans="1:11" ht="12.75">
      <c r="A203" s="1" t="s">
        <v>319</v>
      </c>
      <c r="B203" s="36">
        <f>(B186*B199)+B187+(B188*B200)</f>
        <v>-0.009664097965146293</v>
      </c>
      <c r="C203" s="2" t="s">
        <v>218</v>
      </c>
      <c r="D203" s="22">
        <f t="shared" si="1"/>
        <v>-0.009664097965146293</v>
      </c>
      <c r="E203" s="2" t="s">
        <v>218</v>
      </c>
      <c r="F203" s="148" t="s">
        <v>320</v>
      </c>
      <c r="G203" s="149"/>
      <c r="H203" s="149"/>
      <c r="I203" s="149"/>
      <c r="J203" s="149"/>
      <c r="K203" s="150"/>
    </row>
    <row r="204" spans="1:11" ht="12.75">
      <c r="A204" s="1" t="s">
        <v>321</v>
      </c>
      <c r="B204" s="36">
        <f>0.25+(B200/12)+(B199/4)-(B203/5)-(3*B202/2)-B201</f>
        <v>1.0883388023426868</v>
      </c>
      <c r="C204" s="2" t="s">
        <v>218</v>
      </c>
      <c r="D204" s="22">
        <f t="shared" si="1"/>
        <v>1.0883388023426868</v>
      </c>
      <c r="E204" s="2" t="s">
        <v>218</v>
      </c>
      <c r="F204" s="148" t="s">
        <v>322</v>
      </c>
      <c r="G204" s="149"/>
      <c r="H204" s="149"/>
      <c r="I204" s="149"/>
      <c r="J204" s="149"/>
      <c r="K204" s="150"/>
    </row>
    <row r="205" spans="1:11" ht="12.75">
      <c r="A205" s="1" t="s">
        <v>323</v>
      </c>
      <c r="B205" s="36">
        <f>B201*(0.5+B160/6)+(B202*(0.25+(11*B160/84)))+(B203*((0.0142857142857143)+(B160/105)))</f>
        <v>-0.34895398601328015</v>
      </c>
      <c r="C205" s="2" t="s">
        <v>218</v>
      </c>
      <c r="D205" s="22">
        <f t="shared" si="1"/>
        <v>-0.34895398601328015</v>
      </c>
      <c r="E205" s="2" t="s">
        <v>218</v>
      </c>
      <c r="F205" s="148" t="s">
        <v>324</v>
      </c>
      <c r="G205" s="149"/>
      <c r="H205" s="149"/>
      <c r="I205" s="149"/>
      <c r="J205" s="149"/>
      <c r="K205" s="150"/>
    </row>
    <row r="206" spans="1:11" ht="12.75">
      <c r="A206" s="1" t="s">
        <v>325</v>
      </c>
      <c r="B206" s="36">
        <f>B205-(B199*((7/120)+(B160/36)+(3*B160/B163)))-(1/40)-(B160/72)-(B200*((1/60)+(B160/120)+(1/B163)))</f>
        <v>-0.8843232999817614</v>
      </c>
      <c r="C206" s="2" t="s">
        <v>218</v>
      </c>
      <c r="D206" s="22">
        <f t="shared" si="1"/>
        <v>-0.8843232999817614</v>
      </c>
      <c r="E206" s="2" t="s">
        <v>218</v>
      </c>
      <c r="F206" s="148" t="s">
        <v>326</v>
      </c>
      <c r="G206" s="149"/>
      <c r="H206" s="149"/>
      <c r="I206" s="149"/>
      <c r="J206" s="149"/>
      <c r="K206" s="150"/>
    </row>
    <row r="207" spans="1:11" ht="12.75">
      <c r="A207" s="1" t="s">
        <v>327</v>
      </c>
      <c r="B207" s="36">
        <f>B204/(((2.73/B163)^0.25)*((1+B160)^3))</f>
        <v>0.18728519176233643</v>
      </c>
      <c r="C207" s="2" t="s">
        <v>218</v>
      </c>
      <c r="D207" s="22">
        <f t="shared" si="1"/>
        <v>0.18728519176233643</v>
      </c>
      <c r="E207" s="2" t="s">
        <v>218</v>
      </c>
      <c r="F207" s="148" t="s">
        <v>328</v>
      </c>
      <c r="G207" s="149"/>
      <c r="H207" s="149"/>
      <c r="I207" s="149"/>
      <c r="J207" s="149"/>
      <c r="K207" s="150"/>
    </row>
    <row r="208" spans="1:11" ht="12.75">
      <c r="A208" s="1" t="s">
        <v>329</v>
      </c>
      <c r="B208" s="36">
        <f>-(1)*B206/(((B163/2.73)^0.25)*(((1+B160)^3)/B163))</f>
        <v>0.7871170125573408</v>
      </c>
      <c r="C208" s="2" t="s">
        <v>218</v>
      </c>
      <c r="D208" s="22">
        <f t="shared" si="1"/>
        <v>0.7871170125573408</v>
      </c>
      <c r="E208" s="2" t="s">
        <v>218</v>
      </c>
      <c r="F208" s="148" t="s">
        <v>330</v>
      </c>
      <c r="G208" s="149"/>
      <c r="H208" s="149"/>
      <c r="I208" s="149"/>
      <c r="J208" s="149"/>
      <c r="K208" s="150"/>
    </row>
    <row r="209" spans="1:11" ht="21.75" customHeight="1">
      <c r="A209" s="10" t="s">
        <v>331</v>
      </c>
      <c r="B209" s="36">
        <f>-(1)*((B181*(0.5+(B160/6)))+(B184*(0.25+(11*B160/84)))+(B187*((1/70)+(B160/105)))-((1/40)+(B160/72)))/(((B163/2.73)^0.25)*(((1+B160)^3)/B163))</f>
        <v>1.1835108937201653</v>
      </c>
      <c r="C209" s="13" t="s">
        <v>218</v>
      </c>
      <c r="D209" s="22">
        <f t="shared" si="1"/>
        <v>1.1835108937201653</v>
      </c>
      <c r="E209" s="13" t="s">
        <v>218</v>
      </c>
      <c r="F209" s="174" t="s">
        <v>332</v>
      </c>
      <c r="G209" s="175"/>
      <c r="H209" s="175"/>
      <c r="I209" s="175"/>
      <c r="J209" s="175"/>
      <c r="K209" s="176"/>
    </row>
    <row r="210" spans="1:11" ht="12.75">
      <c r="A210" s="1" t="s">
        <v>333</v>
      </c>
      <c r="B210" s="36">
        <f>(0.25-(B187/5)-(3*B184/2)-B181)/(((2.73/B163)^0.25)*((1+B160)^3))</f>
        <v>0.38988170797521415</v>
      </c>
      <c r="C210" s="13" t="s">
        <v>218</v>
      </c>
      <c r="D210" s="22">
        <f t="shared" si="1"/>
        <v>0.38988170797521415</v>
      </c>
      <c r="E210" s="13" t="s">
        <v>218</v>
      </c>
      <c r="F210" s="148" t="s">
        <v>334</v>
      </c>
      <c r="G210" s="149"/>
      <c r="H210" s="149"/>
      <c r="I210" s="149"/>
      <c r="J210" s="149"/>
      <c r="K210" s="150"/>
    </row>
    <row r="211" spans="1:11" ht="12.75">
      <c r="A211" s="1" t="s">
        <v>335</v>
      </c>
      <c r="B211" s="36">
        <f>IF((B199/(1+B160))&lt;1,1,(B199/(1+B160)))</f>
        <v>1</v>
      </c>
      <c r="C211" s="13" t="s">
        <v>218</v>
      </c>
      <c r="D211" s="22">
        <f t="shared" si="1"/>
        <v>1</v>
      </c>
      <c r="E211" s="13" t="s">
        <v>218</v>
      </c>
      <c r="F211" s="148" t="s">
        <v>336</v>
      </c>
      <c r="G211" s="149"/>
      <c r="H211" s="149"/>
      <c r="I211" s="149"/>
      <c r="J211" s="149"/>
      <c r="K211" s="150"/>
    </row>
    <row r="212" spans="1:11" ht="12.75">
      <c r="A212" s="1" t="s">
        <v>5</v>
      </c>
      <c r="B212" s="36">
        <f>((B213^2)*(1+8.55246*(LOG(B213,10)))-1)/((1.0472+(1.9448*(B213^2)))*(B213-1))</f>
        <v>1.8515154429953562</v>
      </c>
      <c r="C212" s="2" t="s">
        <v>218</v>
      </c>
      <c r="D212" s="22">
        <f t="shared" si="1"/>
        <v>1.8515154429953562</v>
      </c>
      <c r="E212" s="2" t="s">
        <v>218</v>
      </c>
      <c r="F212" s="148" t="s">
        <v>337</v>
      </c>
      <c r="G212" s="149"/>
      <c r="H212" s="149"/>
      <c r="I212" s="149"/>
      <c r="J212" s="149"/>
      <c r="K212" s="150"/>
    </row>
    <row r="213" spans="1:11" ht="12.75">
      <c r="A213" s="1" t="s">
        <v>338</v>
      </c>
      <c r="B213" s="36">
        <f>+B57/B56</f>
        <v>1.168422164322067</v>
      </c>
      <c r="C213" s="2" t="s">
        <v>218</v>
      </c>
      <c r="D213" s="22">
        <f t="shared" si="1"/>
        <v>1.168422164322067</v>
      </c>
      <c r="E213" s="2" t="s">
        <v>218</v>
      </c>
      <c r="F213" s="148" t="s">
        <v>339</v>
      </c>
      <c r="G213" s="149"/>
      <c r="H213" s="149"/>
      <c r="I213" s="149"/>
      <c r="J213" s="149"/>
      <c r="K213" s="150"/>
    </row>
    <row r="214" spans="1:11" ht="12.75">
      <c r="A214" s="1" t="s">
        <v>340</v>
      </c>
      <c r="B214" s="36">
        <f>((B213^2)*(1+8.55246*(LOG(B213,10)))-1)/(1.36136*((B213^2)-1)*(B213-1))</f>
        <v>13.787271081555033</v>
      </c>
      <c r="C214" s="2" t="s">
        <v>218</v>
      </c>
      <c r="D214" s="22">
        <f t="shared" si="1"/>
        <v>13.787271081555033</v>
      </c>
      <c r="E214" s="2" t="s">
        <v>218</v>
      </c>
      <c r="F214" s="148" t="s">
        <v>341</v>
      </c>
      <c r="G214" s="149"/>
      <c r="H214" s="149"/>
      <c r="I214" s="149"/>
      <c r="J214" s="149"/>
      <c r="K214" s="150"/>
    </row>
    <row r="215" spans="1:11" ht="12.75">
      <c r="A215" s="1" t="s">
        <v>342</v>
      </c>
      <c r="B215" s="36">
        <f>(1/(B213-1))*(0.66845+(5.7169*(B213^2)*(LOG(B213,10))/((B213^2)-1)))</f>
        <v>12.54644391253467</v>
      </c>
      <c r="C215" s="2" t="s">
        <v>218</v>
      </c>
      <c r="D215" s="22">
        <f t="shared" si="1"/>
        <v>12.54644391253467</v>
      </c>
      <c r="E215" s="2" t="s">
        <v>218</v>
      </c>
      <c r="F215" s="148" t="s">
        <v>343</v>
      </c>
      <c r="G215" s="149"/>
      <c r="H215" s="149"/>
      <c r="I215" s="149"/>
      <c r="J215" s="149"/>
      <c r="K215" s="150"/>
    </row>
    <row r="216" spans="1:11" ht="12.75">
      <c r="A216" s="1" t="s">
        <v>344</v>
      </c>
      <c r="B216" s="36">
        <f>((B213^2)+1)/((B213^2)-1)</f>
        <v>6.47629599670941</v>
      </c>
      <c r="C216" s="2" t="s">
        <v>218</v>
      </c>
      <c r="D216" s="22">
        <f t="shared" si="1"/>
        <v>6.47629599670941</v>
      </c>
      <c r="E216" s="2" t="s">
        <v>218</v>
      </c>
      <c r="F216" s="148" t="s">
        <v>345</v>
      </c>
      <c r="G216" s="149"/>
      <c r="H216" s="149"/>
      <c r="I216" s="149"/>
      <c r="J216" s="149"/>
      <c r="K216" s="150"/>
    </row>
    <row r="217" spans="1:11" ht="12.75">
      <c r="A217" s="1" t="s">
        <v>346</v>
      </c>
      <c r="B217" s="36">
        <f>B208/B159</f>
        <v>0.09173092196514561</v>
      </c>
      <c r="C217" s="2" t="s">
        <v>111</v>
      </c>
      <c r="D217" s="22">
        <f>B217/25.4</f>
        <v>0.003611453620675024</v>
      </c>
      <c r="E217" s="7" t="s">
        <v>112</v>
      </c>
      <c r="F217" s="148" t="s">
        <v>347</v>
      </c>
      <c r="G217" s="149"/>
      <c r="H217" s="149"/>
      <c r="I217" s="149"/>
      <c r="J217" s="149"/>
      <c r="K217" s="150"/>
    </row>
    <row r="218" spans="1:11" ht="12.75">
      <c r="A218" s="1" t="s">
        <v>348</v>
      </c>
      <c r="B218" s="36">
        <f>B209/B159</f>
        <v>0.13792681863655612</v>
      </c>
      <c r="C218" s="2" t="s">
        <v>111</v>
      </c>
      <c r="D218" s="22">
        <f>B218/25.4</f>
        <v>0.005430189710100635</v>
      </c>
      <c r="E218" s="7" t="s">
        <v>112</v>
      </c>
      <c r="F218" s="148" t="s">
        <v>349</v>
      </c>
      <c r="G218" s="149"/>
      <c r="H218" s="149"/>
      <c r="I218" s="149"/>
      <c r="J218" s="149"/>
      <c r="K218" s="150"/>
    </row>
    <row r="219" spans="1:11" ht="12.75">
      <c r="A219" s="1" t="s">
        <v>350</v>
      </c>
      <c r="B219" s="36">
        <f>(B214/B207)*B159*(B54^2)</f>
        <v>612.0027668418334</v>
      </c>
      <c r="C219" s="2" t="s">
        <v>351</v>
      </c>
      <c r="D219" s="24">
        <f>B219*25.4*25.4*25.4</f>
        <v>10028928.508414201</v>
      </c>
      <c r="E219" s="7" t="s">
        <v>352</v>
      </c>
      <c r="F219" s="148" t="s">
        <v>353</v>
      </c>
      <c r="G219" s="149"/>
      <c r="H219" s="149"/>
      <c r="I219" s="149"/>
      <c r="J219" s="149"/>
      <c r="K219" s="150"/>
    </row>
    <row r="220" spans="1:11" ht="12.75">
      <c r="A220" s="1" t="s">
        <v>354</v>
      </c>
      <c r="B220" s="36">
        <f>(B214/B210)*B159*(B54^2)</f>
        <v>293.9841834137545</v>
      </c>
      <c r="C220" s="2" t="s">
        <v>351</v>
      </c>
      <c r="D220" s="24">
        <f>B220*25.4*25.4*25.4</f>
        <v>4817537.6285889335</v>
      </c>
      <c r="E220" s="7" t="s">
        <v>352</v>
      </c>
      <c r="F220" s="148" t="s">
        <v>355</v>
      </c>
      <c r="G220" s="149"/>
      <c r="H220" s="149"/>
      <c r="I220" s="149"/>
      <c r="J220" s="149"/>
      <c r="K220" s="150"/>
    </row>
    <row r="221" spans="1:11" ht="12.75">
      <c r="A221" s="1" t="s">
        <v>356</v>
      </c>
      <c r="B221" s="36">
        <f>(((B61*B217)+1)/B212)+((B61^3)/B219)</f>
        <v>0.803849980004192</v>
      </c>
      <c r="C221" s="2" t="s">
        <v>218</v>
      </c>
      <c r="D221" s="22">
        <f t="shared" si="1"/>
        <v>0.803849980004192</v>
      </c>
      <c r="E221" s="2" t="s">
        <v>218</v>
      </c>
      <c r="F221" s="148" t="s">
        <v>357</v>
      </c>
      <c r="G221" s="149"/>
      <c r="H221" s="149"/>
      <c r="I221" s="149"/>
      <c r="J221" s="149"/>
      <c r="K221" s="150"/>
    </row>
    <row r="222" spans="1:11" ht="12.75">
      <c r="A222" s="1" t="s">
        <v>358</v>
      </c>
      <c r="B222" s="36">
        <f>(((B61*B218)+1)/B212)+((B61^3)/B220)</f>
        <v>0.9837555214763558</v>
      </c>
      <c r="C222" s="2" t="s">
        <v>218</v>
      </c>
      <c r="D222" s="22">
        <f>B222</f>
        <v>0.9837555214763558</v>
      </c>
      <c r="E222" s="2" t="s">
        <v>218</v>
      </c>
      <c r="F222" s="148" t="s">
        <v>359</v>
      </c>
      <c r="G222" s="149"/>
      <c r="H222" s="149"/>
      <c r="I222" s="149"/>
      <c r="J222" s="149"/>
      <c r="K222" s="150"/>
    </row>
  </sheetData>
  <sheetProtection password="C7F9" sheet="1" objects="1" scenarios="1"/>
  <mergeCells count="255">
    <mergeCell ref="F216:K216"/>
    <mergeCell ref="F217:K217"/>
    <mergeCell ref="F222:K222"/>
    <mergeCell ref="F218:K218"/>
    <mergeCell ref="F219:K219"/>
    <mergeCell ref="F220:K220"/>
    <mergeCell ref="F221:K221"/>
    <mergeCell ref="F210:K210"/>
    <mergeCell ref="F211:K211"/>
    <mergeCell ref="F212:K212"/>
    <mergeCell ref="F213:K213"/>
    <mergeCell ref="F214:K214"/>
    <mergeCell ref="F215:K215"/>
    <mergeCell ref="F204:K204"/>
    <mergeCell ref="F205:K205"/>
    <mergeCell ref="F206:K206"/>
    <mergeCell ref="F207:K207"/>
    <mergeCell ref="F208:K208"/>
    <mergeCell ref="F209:K209"/>
    <mergeCell ref="F198:K198"/>
    <mergeCell ref="F199:K199"/>
    <mergeCell ref="F200:K200"/>
    <mergeCell ref="F201:K201"/>
    <mergeCell ref="F202:K202"/>
    <mergeCell ref="F203:K203"/>
    <mergeCell ref="F192:K192"/>
    <mergeCell ref="F193:K193"/>
    <mergeCell ref="F194:K194"/>
    <mergeCell ref="F195:K195"/>
    <mergeCell ref="F196:K196"/>
    <mergeCell ref="F197:K197"/>
    <mergeCell ref="F186:K186"/>
    <mergeCell ref="F187:K187"/>
    <mergeCell ref="F188:K188"/>
    <mergeCell ref="F189:K189"/>
    <mergeCell ref="F190:K190"/>
    <mergeCell ref="F191:K191"/>
    <mergeCell ref="F180:K180"/>
    <mergeCell ref="F181:K181"/>
    <mergeCell ref="F182:K182"/>
    <mergeCell ref="F183:K183"/>
    <mergeCell ref="F184:K184"/>
    <mergeCell ref="F185:K185"/>
    <mergeCell ref="F174:K174"/>
    <mergeCell ref="F175:K175"/>
    <mergeCell ref="F176:K176"/>
    <mergeCell ref="F177:K177"/>
    <mergeCell ref="F178:K178"/>
    <mergeCell ref="F179:K179"/>
    <mergeCell ref="F168:K168"/>
    <mergeCell ref="F169:K169"/>
    <mergeCell ref="F170:K170"/>
    <mergeCell ref="F171:K171"/>
    <mergeCell ref="F172:K172"/>
    <mergeCell ref="F173:K173"/>
    <mergeCell ref="F162:K162"/>
    <mergeCell ref="F163:K163"/>
    <mergeCell ref="F164:K164"/>
    <mergeCell ref="F165:K165"/>
    <mergeCell ref="F166:K166"/>
    <mergeCell ref="F167:K167"/>
    <mergeCell ref="A156:K156"/>
    <mergeCell ref="A157:K157"/>
    <mergeCell ref="A158:K158"/>
    <mergeCell ref="F159:K159"/>
    <mergeCell ref="F160:K160"/>
    <mergeCell ref="F161:K161"/>
    <mergeCell ref="F151:K151"/>
    <mergeCell ref="F152:K152"/>
    <mergeCell ref="F153:K153"/>
    <mergeCell ref="F154:K154"/>
    <mergeCell ref="A155:E155"/>
    <mergeCell ref="F155:K155"/>
    <mergeCell ref="F146:K146"/>
    <mergeCell ref="F147:K147"/>
    <mergeCell ref="A148:E148"/>
    <mergeCell ref="F148:K148"/>
    <mergeCell ref="A149:K149"/>
    <mergeCell ref="F150:K150"/>
    <mergeCell ref="A141:E141"/>
    <mergeCell ref="F141:K141"/>
    <mergeCell ref="A142:K142"/>
    <mergeCell ref="F143:K143"/>
    <mergeCell ref="F144:K144"/>
    <mergeCell ref="F145:K145"/>
    <mergeCell ref="A135:K135"/>
    <mergeCell ref="F136:K136"/>
    <mergeCell ref="F137:K137"/>
    <mergeCell ref="F138:K138"/>
    <mergeCell ref="F139:K139"/>
    <mergeCell ref="F140:K140"/>
    <mergeCell ref="A129:K129"/>
    <mergeCell ref="A130:K130"/>
    <mergeCell ref="A131:K131"/>
    <mergeCell ref="A132:K132"/>
    <mergeCell ref="A133:K133"/>
    <mergeCell ref="C134:K134"/>
    <mergeCell ref="A123:K123"/>
    <mergeCell ref="A124:B128"/>
    <mergeCell ref="C124:K124"/>
    <mergeCell ref="C125:K125"/>
    <mergeCell ref="C126:K126"/>
    <mergeCell ref="C127:K127"/>
    <mergeCell ref="C128:K128"/>
    <mergeCell ref="F119:K119"/>
    <mergeCell ref="F120:K120"/>
    <mergeCell ref="A121:B121"/>
    <mergeCell ref="C121:D121"/>
    <mergeCell ref="H121:K121"/>
    <mergeCell ref="A122:B122"/>
    <mergeCell ref="C122:D122"/>
    <mergeCell ref="H122:K122"/>
    <mergeCell ref="A113:K113"/>
    <mergeCell ref="F114:K114"/>
    <mergeCell ref="F115:K115"/>
    <mergeCell ref="F116:K116"/>
    <mergeCell ref="F117:K117"/>
    <mergeCell ref="F118:K118"/>
    <mergeCell ref="A106:B106"/>
    <mergeCell ref="C106:D106"/>
    <mergeCell ref="H106:K106"/>
    <mergeCell ref="A107:K107"/>
    <mergeCell ref="A108:B112"/>
    <mergeCell ref="C108:K108"/>
    <mergeCell ref="C109:K109"/>
    <mergeCell ref="C110:K110"/>
    <mergeCell ref="C111:K111"/>
    <mergeCell ref="C112:K112"/>
    <mergeCell ref="A100:K100"/>
    <mergeCell ref="F101:K101"/>
    <mergeCell ref="F102:K102"/>
    <mergeCell ref="F103:K103"/>
    <mergeCell ref="F104:K104"/>
    <mergeCell ref="A105:B105"/>
    <mergeCell ref="C105:D105"/>
    <mergeCell ref="H105:K105"/>
    <mergeCell ref="A94:B94"/>
    <mergeCell ref="C94:D94"/>
    <mergeCell ref="H94:K94"/>
    <mergeCell ref="A95:B99"/>
    <mergeCell ref="C95:K95"/>
    <mergeCell ref="C96:K96"/>
    <mergeCell ref="C97:K97"/>
    <mergeCell ref="C98:K98"/>
    <mergeCell ref="C99:K99"/>
    <mergeCell ref="A91:B91"/>
    <mergeCell ref="D91:K91"/>
    <mergeCell ref="A92:B92"/>
    <mergeCell ref="C92:D92"/>
    <mergeCell ref="H92:K92"/>
    <mergeCell ref="A93:B93"/>
    <mergeCell ref="C93:D93"/>
    <mergeCell ref="H93:K93"/>
    <mergeCell ref="A85:K85"/>
    <mergeCell ref="A86:K86"/>
    <mergeCell ref="A87:K87"/>
    <mergeCell ref="A88:K88"/>
    <mergeCell ref="A89:K89"/>
    <mergeCell ref="A90:K90"/>
    <mergeCell ref="A83:B83"/>
    <mergeCell ref="C83:D83"/>
    <mergeCell ref="H83:K83"/>
    <mergeCell ref="A84:B84"/>
    <mergeCell ref="C84:D84"/>
    <mergeCell ref="H84:K84"/>
    <mergeCell ref="F77:K77"/>
    <mergeCell ref="F78:K78"/>
    <mergeCell ref="F79:K79"/>
    <mergeCell ref="F80:K80"/>
    <mergeCell ref="F81:K81"/>
    <mergeCell ref="F82:K82"/>
    <mergeCell ref="F71:K71"/>
    <mergeCell ref="A72:K72"/>
    <mergeCell ref="F73:K73"/>
    <mergeCell ref="F74:K74"/>
    <mergeCell ref="F75:K75"/>
    <mergeCell ref="F76:K76"/>
    <mergeCell ref="F65:K65"/>
    <mergeCell ref="F66:K66"/>
    <mergeCell ref="F67:K67"/>
    <mergeCell ref="F68:K68"/>
    <mergeCell ref="F69:K69"/>
    <mergeCell ref="F70:K70"/>
    <mergeCell ref="F59:K59"/>
    <mergeCell ref="F60:K60"/>
    <mergeCell ref="F61:K61"/>
    <mergeCell ref="F62:K62"/>
    <mergeCell ref="F63:K63"/>
    <mergeCell ref="F64:K64"/>
    <mergeCell ref="F53:K53"/>
    <mergeCell ref="F54:K54"/>
    <mergeCell ref="F55:K55"/>
    <mergeCell ref="F56:K56"/>
    <mergeCell ref="F57:K57"/>
    <mergeCell ref="F58:K58"/>
    <mergeCell ref="A47:K47"/>
    <mergeCell ref="A48:K48"/>
    <mergeCell ref="A49:K49"/>
    <mergeCell ref="A50:K50"/>
    <mergeCell ref="C51:K51"/>
    <mergeCell ref="F52:K52"/>
    <mergeCell ref="A42:B42"/>
    <mergeCell ref="C42:K42"/>
    <mergeCell ref="F43:K43"/>
    <mergeCell ref="F44:K44"/>
    <mergeCell ref="F45:K45"/>
    <mergeCell ref="A46:K46"/>
    <mergeCell ref="F36:K36"/>
    <mergeCell ref="F37:K37"/>
    <mergeCell ref="F38:K38"/>
    <mergeCell ref="F39:K39"/>
    <mergeCell ref="F40:K40"/>
    <mergeCell ref="F41:K41"/>
    <mergeCell ref="F29:K29"/>
    <mergeCell ref="F30:K30"/>
    <mergeCell ref="A31:K31"/>
    <mergeCell ref="F32:K32"/>
    <mergeCell ref="F33:K33"/>
    <mergeCell ref="F34:K34"/>
    <mergeCell ref="F23:K23"/>
    <mergeCell ref="F24:K24"/>
    <mergeCell ref="F25:K25"/>
    <mergeCell ref="F26:K26"/>
    <mergeCell ref="F27:K27"/>
    <mergeCell ref="A28:K28"/>
    <mergeCell ref="F17:K17"/>
    <mergeCell ref="F18:K18"/>
    <mergeCell ref="F19:K19"/>
    <mergeCell ref="F20:K20"/>
    <mergeCell ref="F21:K21"/>
    <mergeCell ref="F22:K22"/>
    <mergeCell ref="F11:K11"/>
    <mergeCell ref="F12:K12"/>
    <mergeCell ref="F13:K13"/>
    <mergeCell ref="F14:K14"/>
    <mergeCell ref="F15:K15"/>
    <mergeCell ref="F16:K16"/>
    <mergeCell ref="A8:E8"/>
    <mergeCell ref="F8:K8"/>
    <mergeCell ref="A9:K9"/>
    <mergeCell ref="B10:C10"/>
    <mergeCell ref="D10:E10"/>
    <mergeCell ref="F10:K10"/>
    <mergeCell ref="A5:E5"/>
    <mergeCell ref="F5:K5"/>
    <mergeCell ref="A6:E6"/>
    <mergeCell ref="F6:K6"/>
    <mergeCell ref="A7:E7"/>
    <mergeCell ref="F7:K7"/>
    <mergeCell ref="A1:I1"/>
    <mergeCell ref="J1:K1"/>
    <mergeCell ref="A2:I2"/>
    <mergeCell ref="J2:K2"/>
    <mergeCell ref="A3:K3"/>
    <mergeCell ref="A4:K4"/>
  </mergeCells>
  <conditionalFormatting sqref="C95:K95 C108:K108 C124:K124">
    <cfRule type="cellIs" priority="1" dxfId="1" operator="equal" stopIfTrue="1">
      <formula>"A tensão longitudinal não passou"</formula>
    </cfRule>
  </conditionalFormatting>
  <conditionalFormatting sqref="C96:K96 C109:K109 C125:K125">
    <cfRule type="cellIs" priority="2" dxfId="1" operator="equal" stopIfTrue="1">
      <formula>"A tensão radial não passou"</formula>
    </cfRule>
  </conditionalFormatting>
  <conditionalFormatting sqref="C97:K97 C110:K110 C126:K126">
    <cfRule type="cellIs" priority="3" dxfId="1" operator="equal" stopIfTrue="1">
      <formula>"A tensão tangencial não passou"</formula>
    </cfRule>
  </conditionalFormatting>
  <conditionalFormatting sqref="C98:K98">
    <cfRule type="cellIs" priority="4" dxfId="1" operator="equal" stopIfTrue="1">
      <formula>"Não passou: ((SHO+SRO)/2) é maior do que Sfp"</formula>
    </cfRule>
  </conditionalFormatting>
  <conditionalFormatting sqref="C99:K99">
    <cfRule type="cellIs" priority="5" dxfId="1" operator="equal" stopIfTrue="1">
      <formula>"Não passou: ((SHO+STO)/2) é mairo do que Sfp"</formula>
    </cfRule>
  </conditionalFormatting>
  <conditionalFormatting sqref="C111:K111">
    <cfRule type="cellIs" priority="6" dxfId="1" operator="equal" stopIfTrue="1">
      <formula>"Não passou: ((SHA+SRA)/2) é maior do que Sff"</formula>
    </cfRule>
  </conditionalFormatting>
  <conditionalFormatting sqref="C112:K112">
    <cfRule type="cellIs" priority="7" dxfId="1" operator="equal" stopIfTrue="1">
      <formula>"Não passou: ((SHA+STA)/2) é maior do que Sff"</formula>
    </cfRule>
  </conditionalFormatting>
  <conditionalFormatting sqref="C127:K127">
    <cfRule type="cellIs" priority="8" dxfId="1" operator="equal" stopIfTrue="1">
      <formula>"Não passou: ((SHI+SRI)/2) é maior do que Sff"</formula>
    </cfRule>
  </conditionalFormatting>
  <conditionalFormatting sqref="C128:K128">
    <cfRule type="cellIs" priority="9" dxfId="1" operator="equal" stopIfTrue="1">
      <formula>"Não passou: ((SHI+STI)/2) é maior do que Sff"</formula>
    </cfRule>
  </conditionalFormatting>
  <conditionalFormatting sqref="F141:K141 F148:K148 F155:K155">
    <cfRule type="cellIs" priority="10" dxfId="1" operator="equal" stopIfTrue="1">
      <formula>"Reanalisar, os flanges não tem rigidez suficiente"</formula>
    </cfRule>
  </conditionalFormatting>
  <conditionalFormatting sqref="C42:K42">
    <cfRule type="cellIs" priority="11" dxfId="0" operator="equal" stopIfTrue="1">
      <formula>"A área resistente dos parafusos está OK!"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2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9.140625" style="34" customWidth="1"/>
    <col min="2" max="2" width="12.28125" style="34" customWidth="1"/>
    <col min="3" max="3" width="9.140625" style="34" customWidth="1"/>
    <col min="4" max="4" width="12.00390625" style="34" customWidth="1"/>
    <col min="5" max="10" width="9.140625" style="34" customWidth="1"/>
    <col min="11" max="11" width="13.57421875" style="34" customWidth="1"/>
    <col min="12" max="16384" width="9.140625" style="34" customWidth="1"/>
  </cols>
  <sheetData>
    <row r="1" spans="1:11" ht="14.25">
      <c r="A1" s="106" t="s">
        <v>34</v>
      </c>
      <c r="B1" s="107"/>
      <c r="C1" s="107"/>
      <c r="D1" s="107"/>
      <c r="E1" s="107"/>
      <c r="F1" s="107"/>
      <c r="G1" s="107"/>
      <c r="H1" s="107"/>
      <c r="I1" s="108"/>
      <c r="J1" s="109" t="s">
        <v>35</v>
      </c>
      <c r="K1" s="110"/>
    </row>
    <row r="2" spans="1:11" ht="12.75">
      <c r="A2" s="111" t="s">
        <v>36</v>
      </c>
      <c r="B2" s="112"/>
      <c r="C2" s="112"/>
      <c r="D2" s="112"/>
      <c r="E2" s="112"/>
      <c r="F2" s="112"/>
      <c r="G2" s="112"/>
      <c r="H2" s="112"/>
      <c r="I2" s="113"/>
      <c r="J2" s="114" t="s">
        <v>37</v>
      </c>
      <c r="K2" s="115"/>
    </row>
    <row r="3" spans="1:11" ht="12.7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8">
      <c r="A4" s="119" t="s">
        <v>38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2.75">
      <c r="A5" s="120" t="s">
        <v>39</v>
      </c>
      <c r="B5" s="121"/>
      <c r="C5" s="121"/>
      <c r="D5" s="121"/>
      <c r="E5" s="122"/>
      <c r="F5" s="123" t="s">
        <v>387</v>
      </c>
      <c r="G5" s="124"/>
      <c r="H5" s="124"/>
      <c r="I5" s="124"/>
      <c r="J5" s="124"/>
      <c r="K5" s="125"/>
    </row>
    <row r="6" spans="1:11" ht="12.75">
      <c r="A6" s="120" t="s">
        <v>40</v>
      </c>
      <c r="B6" s="121"/>
      <c r="C6" s="121"/>
      <c r="D6" s="121"/>
      <c r="E6" s="122"/>
      <c r="F6" s="126" t="s">
        <v>388</v>
      </c>
      <c r="G6" s="127"/>
      <c r="H6" s="127"/>
      <c r="I6" s="127"/>
      <c r="J6" s="127"/>
      <c r="K6" s="128"/>
    </row>
    <row r="7" spans="1:11" ht="12.75">
      <c r="A7" s="120" t="s">
        <v>41</v>
      </c>
      <c r="B7" s="121"/>
      <c r="C7" s="121"/>
      <c r="D7" s="121"/>
      <c r="E7" s="122"/>
      <c r="F7" s="126" t="s">
        <v>389</v>
      </c>
      <c r="G7" s="127"/>
      <c r="H7" s="127"/>
      <c r="I7" s="127"/>
      <c r="J7" s="127"/>
      <c r="K7" s="128"/>
    </row>
    <row r="8" spans="1:11" ht="12.75">
      <c r="A8" s="120" t="s">
        <v>42</v>
      </c>
      <c r="B8" s="121"/>
      <c r="C8" s="121"/>
      <c r="D8" s="121"/>
      <c r="E8" s="122"/>
      <c r="F8" s="129" t="s">
        <v>366</v>
      </c>
      <c r="G8" s="130"/>
      <c r="H8" s="130"/>
      <c r="I8" s="130"/>
      <c r="J8" s="130"/>
      <c r="K8" s="131"/>
    </row>
    <row r="9" spans="1:11" ht="12.75">
      <c r="A9" s="132" t="s">
        <v>43</v>
      </c>
      <c r="B9" s="133"/>
      <c r="C9" s="133"/>
      <c r="D9" s="133"/>
      <c r="E9" s="133"/>
      <c r="F9" s="133"/>
      <c r="G9" s="133"/>
      <c r="H9" s="133"/>
      <c r="I9" s="133"/>
      <c r="J9" s="133"/>
      <c r="K9" s="134"/>
    </row>
    <row r="10" spans="1:11" ht="12.75">
      <c r="A10" s="9"/>
      <c r="B10" s="135" t="s">
        <v>44</v>
      </c>
      <c r="C10" s="136"/>
      <c r="D10" s="135" t="s">
        <v>45</v>
      </c>
      <c r="E10" s="136"/>
      <c r="F10" s="137"/>
      <c r="G10" s="133"/>
      <c r="H10" s="133"/>
      <c r="I10" s="133"/>
      <c r="J10" s="133"/>
      <c r="K10" s="138"/>
    </row>
    <row r="11" spans="1:11" ht="12.75">
      <c r="A11" s="1" t="s">
        <v>46</v>
      </c>
      <c r="B11" s="25">
        <f>2007.5/25.4</f>
        <v>79.03543307086615</v>
      </c>
      <c r="C11" s="2" t="s">
        <v>47</v>
      </c>
      <c r="D11" s="3">
        <f>B11*25.4</f>
        <v>2007.5</v>
      </c>
      <c r="E11" s="7" t="s">
        <v>2</v>
      </c>
      <c r="F11" s="139" t="s">
        <v>48</v>
      </c>
      <c r="G11" s="140"/>
      <c r="H11" s="140"/>
      <c r="I11" s="140"/>
      <c r="J11" s="140"/>
      <c r="K11" s="141"/>
    </row>
    <row r="12" spans="1:11" ht="12.75">
      <c r="A12" s="1" t="s">
        <v>49</v>
      </c>
      <c r="B12" s="25">
        <f>1920/25.4</f>
        <v>75.59055118110237</v>
      </c>
      <c r="C12" s="2" t="s">
        <v>47</v>
      </c>
      <c r="D12" s="3">
        <f>B12*25.4</f>
        <v>1920</v>
      </c>
      <c r="E12" s="7" t="s">
        <v>2</v>
      </c>
      <c r="F12" s="139" t="s">
        <v>50</v>
      </c>
      <c r="G12" s="140"/>
      <c r="H12" s="140"/>
      <c r="I12" s="140"/>
      <c r="J12" s="140"/>
      <c r="K12" s="141"/>
    </row>
    <row r="13" spans="1:11" ht="12.75">
      <c r="A13" s="1" t="s">
        <v>51</v>
      </c>
      <c r="B13" s="26">
        <v>0</v>
      </c>
      <c r="C13" s="2" t="s">
        <v>14</v>
      </c>
      <c r="D13" s="3">
        <f>B13</f>
        <v>0</v>
      </c>
      <c r="E13" s="2" t="s">
        <v>14</v>
      </c>
      <c r="F13" s="139" t="s">
        <v>52</v>
      </c>
      <c r="G13" s="140"/>
      <c r="H13" s="140"/>
      <c r="I13" s="140"/>
      <c r="J13" s="140"/>
      <c r="K13" s="141"/>
    </row>
    <row r="14" spans="1:11" ht="12.75">
      <c r="A14" s="1" t="s">
        <v>53</v>
      </c>
      <c r="B14" s="27">
        <f>3*14.22</f>
        <v>42.660000000000004</v>
      </c>
      <c r="C14" s="2" t="s">
        <v>0</v>
      </c>
      <c r="D14" s="3">
        <f>B14*6.894757</f>
        <v>294.13033362000004</v>
      </c>
      <c r="E14" s="7" t="s">
        <v>9</v>
      </c>
      <c r="F14" s="142" t="s">
        <v>54</v>
      </c>
      <c r="G14" s="143"/>
      <c r="H14" s="143"/>
      <c r="I14" s="143"/>
      <c r="J14" s="143"/>
      <c r="K14" s="144"/>
    </row>
    <row r="15" spans="1:11" ht="12.75">
      <c r="A15" s="1" t="s">
        <v>55</v>
      </c>
      <c r="B15" s="27">
        <v>1858116.72</v>
      </c>
      <c r="C15" s="2" t="s">
        <v>56</v>
      </c>
      <c r="D15" s="3">
        <f>B15*0.01152124</f>
        <v>21407.8086791328</v>
      </c>
      <c r="E15" s="7" t="s">
        <v>57</v>
      </c>
      <c r="F15" s="142" t="s">
        <v>58</v>
      </c>
      <c r="G15" s="143"/>
      <c r="H15" s="143"/>
      <c r="I15" s="143"/>
      <c r="J15" s="143"/>
      <c r="K15" s="144"/>
    </row>
    <row r="16" spans="1:11" ht="17.25" customHeight="1">
      <c r="A16" s="10" t="s">
        <v>59</v>
      </c>
      <c r="B16" s="27">
        <f>11341</f>
        <v>11341</v>
      </c>
      <c r="C16" s="2" t="s">
        <v>29</v>
      </c>
      <c r="D16" s="3">
        <f>B16*0.4535924</f>
        <v>5144.1914084</v>
      </c>
      <c r="E16" s="7" t="s">
        <v>1</v>
      </c>
      <c r="F16" s="145" t="s">
        <v>60</v>
      </c>
      <c r="G16" s="146"/>
      <c r="H16" s="146"/>
      <c r="I16" s="146"/>
      <c r="J16" s="146"/>
      <c r="K16" s="147"/>
    </row>
    <row r="17" spans="1:11" ht="12.75">
      <c r="A17" s="1" t="s">
        <v>61</v>
      </c>
      <c r="B17" s="8">
        <f>(16*B15)/(3.14*(B24^3))</f>
        <v>19.86948257009571</v>
      </c>
      <c r="C17" s="2" t="s">
        <v>0</v>
      </c>
      <c r="D17" s="3">
        <f>B17*6.894757</f>
        <v>136.9952540365454</v>
      </c>
      <c r="E17" s="7" t="s">
        <v>9</v>
      </c>
      <c r="F17" s="145" t="s">
        <v>62</v>
      </c>
      <c r="G17" s="146"/>
      <c r="H17" s="146"/>
      <c r="I17" s="146"/>
      <c r="J17" s="146"/>
      <c r="K17" s="147"/>
    </row>
    <row r="18" spans="1:11" ht="12.75">
      <c r="A18" s="1" t="s">
        <v>63</v>
      </c>
      <c r="B18" s="8">
        <f>(4*B16)/(3.1416*(B24^2))</f>
        <v>2.366878372790934</v>
      </c>
      <c r="C18" s="2" t="s">
        <v>0</v>
      </c>
      <c r="D18" s="3">
        <f>B18*6.894757</f>
        <v>16.3190512289489</v>
      </c>
      <c r="E18" s="7" t="s">
        <v>9</v>
      </c>
      <c r="F18" s="145" t="s">
        <v>64</v>
      </c>
      <c r="G18" s="146"/>
      <c r="H18" s="146"/>
      <c r="I18" s="146"/>
      <c r="J18" s="146"/>
      <c r="K18" s="147"/>
    </row>
    <row r="19" spans="1:11" ht="12.75">
      <c r="A19" s="1" t="s">
        <v>65</v>
      </c>
      <c r="B19" s="8">
        <f>((16*B15)/(3.14*(B24^3)))+((4*B16)/(3.14*(B24^2)))</f>
        <v>22.237566995560677</v>
      </c>
      <c r="C19" s="2" t="s">
        <v>0</v>
      </c>
      <c r="D19" s="3">
        <f>B19*6.894757</f>
        <v>153.32262070561094</v>
      </c>
      <c r="E19" s="7" t="s">
        <v>9</v>
      </c>
      <c r="F19" s="145" t="s">
        <v>66</v>
      </c>
      <c r="G19" s="146"/>
      <c r="H19" s="146"/>
      <c r="I19" s="146"/>
      <c r="J19" s="146"/>
      <c r="K19" s="147"/>
    </row>
    <row r="20" spans="1:11" ht="12.75">
      <c r="A20" s="1" t="s">
        <v>67</v>
      </c>
      <c r="B20" s="8">
        <f>B19+B14</f>
        <v>64.89756699556068</v>
      </c>
      <c r="C20" s="2" t="s">
        <v>0</v>
      </c>
      <c r="D20" s="3">
        <f>B20*6.894757</f>
        <v>447.45295432561096</v>
      </c>
      <c r="E20" s="7" t="s">
        <v>9</v>
      </c>
      <c r="F20" s="145" t="s">
        <v>68</v>
      </c>
      <c r="G20" s="146"/>
      <c r="H20" s="146"/>
      <c r="I20" s="146"/>
      <c r="J20" s="146"/>
      <c r="K20" s="147"/>
    </row>
    <row r="21" spans="1:11" ht="12.75">
      <c r="A21" s="1" t="s">
        <v>69</v>
      </c>
      <c r="B21" s="8">
        <f>((B11-B12)/2)</f>
        <v>1.722440944881889</v>
      </c>
      <c r="C21" s="2" t="s">
        <v>47</v>
      </c>
      <c r="D21" s="3">
        <f>B21*25.4</f>
        <v>43.74999999999998</v>
      </c>
      <c r="E21" s="7" t="s">
        <v>2</v>
      </c>
      <c r="F21" s="142" t="s">
        <v>70</v>
      </c>
      <c r="G21" s="143"/>
      <c r="H21" s="143"/>
      <c r="I21" s="143"/>
      <c r="J21" s="143"/>
      <c r="K21" s="144"/>
    </row>
    <row r="22" spans="1:11" ht="12.75">
      <c r="A22" s="1" t="s">
        <v>71</v>
      </c>
      <c r="B22" s="8">
        <f>+B21/2</f>
        <v>0.8612204724409445</v>
      </c>
      <c r="C22" s="2" t="s">
        <v>47</v>
      </c>
      <c r="D22" s="3">
        <f>B22*25.4</f>
        <v>21.87499999999999</v>
      </c>
      <c r="E22" s="7" t="s">
        <v>2</v>
      </c>
      <c r="F22" s="148" t="s">
        <v>72</v>
      </c>
      <c r="G22" s="149"/>
      <c r="H22" s="149"/>
      <c r="I22" s="149"/>
      <c r="J22" s="149"/>
      <c r="K22" s="150"/>
    </row>
    <row r="23" spans="1:11" ht="21" customHeight="1">
      <c r="A23" s="10" t="s">
        <v>73</v>
      </c>
      <c r="B23" s="8">
        <f>IF(B22&lt;=0.25,B22,0.5*SQRT(B22))</f>
        <v>0.4640098254457939</v>
      </c>
      <c r="C23" s="2" t="s">
        <v>47</v>
      </c>
      <c r="D23" s="3">
        <f>B23*25.4</f>
        <v>11.785849566323163</v>
      </c>
      <c r="E23" s="7" t="s">
        <v>2</v>
      </c>
      <c r="F23" s="151" t="s">
        <v>360</v>
      </c>
      <c r="G23" s="152"/>
      <c r="H23" s="152"/>
      <c r="I23" s="152"/>
      <c r="J23" s="152"/>
      <c r="K23" s="153"/>
    </row>
    <row r="24" spans="1:11" ht="17.25" customHeight="1">
      <c r="A24" s="1" t="s">
        <v>74</v>
      </c>
      <c r="B24" s="8">
        <f>IF(B22&lt;=0.25,((B11+B12)/2),(B11-(2*B23)))</f>
        <v>78.10741341997456</v>
      </c>
      <c r="C24" s="2" t="s">
        <v>47</v>
      </c>
      <c r="D24" s="3">
        <f>B24*25.4</f>
        <v>1983.9283008673538</v>
      </c>
      <c r="E24" s="7" t="s">
        <v>2</v>
      </c>
      <c r="F24" s="145" t="s">
        <v>75</v>
      </c>
      <c r="G24" s="146"/>
      <c r="H24" s="146"/>
      <c r="I24" s="146"/>
      <c r="J24" s="146"/>
      <c r="K24" s="147"/>
    </row>
    <row r="25" spans="1:11" ht="12.75">
      <c r="A25" s="1" t="s">
        <v>76</v>
      </c>
      <c r="B25" s="3">
        <f>B20*0.785*B24*B24</f>
        <v>310801.12659080606</v>
      </c>
      <c r="C25" s="2" t="s">
        <v>29</v>
      </c>
      <c r="D25" s="3">
        <f>B25*0.4535924</f>
        <v>140977.02893302753</v>
      </c>
      <c r="E25" s="7" t="s">
        <v>1</v>
      </c>
      <c r="F25" s="145" t="s">
        <v>77</v>
      </c>
      <c r="G25" s="146"/>
      <c r="H25" s="146"/>
      <c r="I25" s="146"/>
      <c r="J25" s="146"/>
      <c r="K25" s="147"/>
    </row>
    <row r="26" spans="1:11" ht="12.75">
      <c r="A26" s="1" t="s">
        <v>78</v>
      </c>
      <c r="B26" s="3">
        <f>B13*B14*2*B23*B24*3.14</f>
        <v>0</v>
      </c>
      <c r="C26" s="2" t="s">
        <v>29</v>
      </c>
      <c r="D26" s="3">
        <f>B26*0.4535924</f>
        <v>0</v>
      </c>
      <c r="E26" s="7" t="s">
        <v>1</v>
      </c>
      <c r="F26" s="145" t="s">
        <v>79</v>
      </c>
      <c r="G26" s="146"/>
      <c r="H26" s="146"/>
      <c r="I26" s="146"/>
      <c r="J26" s="146"/>
      <c r="K26" s="147"/>
    </row>
    <row r="27" spans="1:11" ht="12.75">
      <c r="A27" s="11" t="s">
        <v>80</v>
      </c>
      <c r="B27" s="3">
        <f>B25+B26</f>
        <v>310801.12659080606</v>
      </c>
      <c r="C27" s="2" t="s">
        <v>29</v>
      </c>
      <c r="D27" s="3">
        <f>B27*0.4535924</f>
        <v>140977.02893302753</v>
      </c>
      <c r="E27" s="7" t="s">
        <v>1</v>
      </c>
      <c r="F27" s="145" t="s">
        <v>81</v>
      </c>
      <c r="G27" s="146"/>
      <c r="H27" s="146"/>
      <c r="I27" s="146"/>
      <c r="J27" s="146"/>
      <c r="K27" s="147"/>
    </row>
    <row r="28" spans="1:11" ht="12.75">
      <c r="A28" s="154" t="s">
        <v>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6"/>
    </row>
    <row r="29" spans="1:11" ht="22.5" customHeight="1">
      <c r="A29" s="1" t="s">
        <v>82</v>
      </c>
      <c r="B29" s="28">
        <v>0</v>
      </c>
      <c r="C29" s="2" t="s">
        <v>0</v>
      </c>
      <c r="D29" s="3">
        <f>B29*6.894757</f>
        <v>0</v>
      </c>
      <c r="E29" s="7" t="s">
        <v>9</v>
      </c>
      <c r="F29" s="145" t="s">
        <v>83</v>
      </c>
      <c r="G29" s="146"/>
      <c r="H29" s="146"/>
      <c r="I29" s="146"/>
      <c r="J29" s="146"/>
      <c r="K29" s="147"/>
    </row>
    <row r="30" spans="1:11" ht="12.75">
      <c r="A30" s="1" t="s">
        <v>84</v>
      </c>
      <c r="B30" s="3">
        <f>B23*B24*B29*3.1416</f>
        <v>0</v>
      </c>
      <c r="C30" s="2" t="s">
        <v>29</v>
      </c>
      <c r="D30" s="3">
        <f>B30*0.4535924</f>
        <v>0</v>
      </c>
      <c r="E30" s="7" t="s">
        <v>1</v>
      </c>
      <c r="F30" s="145" t="s">
        <v>85</v>
      </c>
      <c r="G30" s="146"/>
      <c r="H30" s="146"/>
      <c r="I30" s="146"/>
      <c r="J30" s="146"/>
      <c r="K30" s="147"/>
    </row>
    <row r="31" spans="1:11" ht="23.25" customHeight="1">
      <c r="A31" s="154" t="s">
        <v>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6"/>
    </row>
    <row r="32" spans="1:11" ht="12.75">
      <c r="A32" s="1" t="s">
        <v>5</v>
      </c>
      <c r="B32" s="28">
        <v>380</v>
      </c>
      <c r="C32" s="2" t="s">
        <v>6</v>
      </c>
      <c r="D32" s="41">
        <f>B32*1.8+32</f>
        <v>716</v>
      </c>
      <c r="E32" s="2" t="s">
        <v>6</v>
      </c>
      <c r="F32" s="148" t="s">
        <v>7</v>
      </c>
      <c r="G32" s="149"/>
      <c r="H32" s="149"/>
      <c r="I32" s="149"/>
      <c r="J32" s="149"/>
      <c r="K32" s="150"/>
    </row>
    <row r="33" spans="1:11" ht="12.75">
      <c r="A33" s="1" t="s">
        <v>8</v>
      </c>
      <c r="B33" s="28">
        <v>11700</v>
      </c>
      <c r="C33" s="2" t="s">
        <v>0</v>
      </c>
      <c r="D33" s="3">
        <f>B33*6.894757</f>
        <v>80668.6569</v>
      </c>
      <c r="E33" s="7" t="s">
        <v>9</v>
      </c>
      <c r="F33" s="148" t="s">
        <v>10</v>
      </c>
      <c r="G33" s="149"/>
      <c r="H33" s="149"/>
      <c r="I33" s="149"/>
      <c r="J33" s="149"/>
      <c r="K33" s="150"/>
    </row>
    <row r="34" spans="1:11" ht="12.75">
      <c r="A34" s="1" t="s">
        <v>11</v>
      </c>
      <c r="B34" s="28">
        <v>18800</v>
      </c>
      <c r="C34" s="2" t="s">
        <v>0</v>
      </c>
      <c r="D34" s="3">
        <f>B34*6.894757</f>
        <v>129621.43160000001</v>
      </c>
      <c r="E34" s="7" t="s">
        <v>9</v>
      </c>
      <c r="F34" s="148" t="s">
        <v>12</v>
      </c>
      <c r="G34" s="149"/>
      <c r="H34" s="149"/>
      <c r="I34" s="149"/>
      <c r="J34" s="149"/>
      <c r="K34" s="150"/>
    </row>
    <row r="35" spans="1:11" ht="12.75">
      <c r="A35" s="1" t="s">
        <v>363</v>
      </c>
      <c r="B35" s="28">
        <v>2</v>
      </c>
      <c r="C35" s="2" t="s">
        <v>47</v>
      </c>
      <c r="D35" s="3">
        <f>B35*25.4</f>
        <v>50.8</v>
      </c>
      <c r="E35" s="7" t="s">
        <v>2</v>
      </c>
      <c r="F35" s="4" t="s">
        <v>364</v>
      </c>
      <c r="G35" s="5"/>
      <c r="H35" s="5"/>
      <c r="I35" s="5"/>
      <c r="J35" s="5"/>
      <c r="K35" s="6"/>
    </row>
    <row r="36" spans="1:11" ht="12.75">
      <c r="A36" s="1" t="s">
        <v>13</v>
      </c>
      <c r="B36" s="28">
        <v>48</v>
      </c>
      <c r="C36" s="2" t="s">
        <v>14</v>
      </c>
      <c r="D36" s="3">
        <f>B36</f>
        <v>48</v>
      </c>
      <c r="E36" s="7" t="s">
        <v>14</v>
      </c>
      <c r="F36" s="139" t="s">
        <v>15</v>
      </c>
      <c r="G36" s="140"/>
      <c r="H36" s="140"/>
      <c r="I36" s="140"/>
      <c r="J36" s="140"/>
      <c r="K36" s="141"/>
    </row>
    <row r="37" spans="1:11" ht="12.75">
      <c r="A37" s="1" t="s">
        <v>16</v>
      </c>
      <c r="B37" s="28">
        <v>2.652</v>
      </c>
      <c r="C37" s="2" t="s">
        <v>17</v>
      </c>
      <c r="D37" s="3">
        <f>B37*25.4*25.4</f>
        <v>1710.9643199999998</v>
      </c>
      <c r="E37" s="7" t="s">
        <v>18</v>
      </c>
      <c r="F37" s="148" t="s">
        <v>19</v>
      </c>
      <c r="G37" s="149"/>
      <c r="H37" s="149"/>
      <c r="I37" s="149"/>
      <c r="J37" s="149"/>
      <c r="K37" s="150"/>
    </row>
    <row r="38" spans="1:11" ht="12.75">
      <c r="A38" s="1" t="s">
        <v>20</v>
      </c>
      <c r="B38" s="38">
        <f>+B37*B36</f>
        <v>127.296</v>
      </c>
      <c r="C38" s="2" t="s">
        <v>17</v>
      </c>
      <c r="D38" s="3">
        <f>B38*25.4*25.4</f>
        <v>82126.28736</v>
      </c>
      <c r="E38" s="7" t="s">
        <v>18</v>
      </c>
      <c r="F38" s="148" t="s">
        <v>21</v>
      </c>
      <c r="G38" s="149"/>
      <c r="H38" s="149"/>
      <c r="I38" s="149"/>
      <c r="J38" s="149"/>
      <c r="K38" s="150"/>
    </row>
    <row r="39" spans="1:11" ht="12.75">
      <c r="A39" s="1" t="s">
        <v>22</v>
      </c>
      <c r="B39" s="8">
        <f>B27/B33</f>
        <v>26.564198853915048</v>
      </c>
      <c r="C39" s="2" t="s">
        <v>17</v>
      </c>
      <c r="D39" s="3">
        <f>B39*25.4*25.4</f>
        <v>17138.158532591828</v>
      </c>
      <c r="E39" s="7" t="s">
        <v>18</v>
      </c>
      <c r="F39" s="148" t="s">
        <v>23</v>
      </c>
      <c r="G39" s="149"/>
      <c r="H39" s="149"/>
      <c r="I39" s="149"/>
      <c r="J39" s="149"/>
      <c r="K39" s="150"/>
    </row>
    <row r="40" spans="1:11" ht="12.75">
      <c r="A40" s="1" t="s">
        <v>24</v>
      </c>
      <c r="B40" s="8">
        <f>B30/B34</f>
        <v>0</v>
      </c>
      <c r="C40" s="2" t="s">
        <v>17</v>
      </c>
      <c r="D40" s="3">
        <f>B40*25.4*25.4</f>
        <v>0</v>
      </c>
      <c r="E40" s="7" t="s">
        <v>18</v>
      </c>
      <c r="F40" s="148" t="s">
        <v>25</v>
      </c>
      <c r="G40" s="149"/>
      <c r="H40" s="149"/>
      <c r="I40" s="149"/>
      <c r="J40" s="149"/>
      <c r="K40" s="150"/>
    </row>
    <row r="41" spans="1:11" ht="12.75">
      <c r="A41" s="1" t="s">
        <v>26</v>
      </c>
      <c r="B41" s="39">
        <f>IF(B39&gt;B40,B39,B40)</f>
        <v>26.564198853915048</v>
      </c>
      <c r="C41" s="2" t="s">
        <v>17</v>
      </c>
      <c r="D41" s="37">
        <f>B41*25.4*25.4</f>
        <v>17138.158532591828</v>
      </c>
      <c r="E41" s="7" t="s">
        <v>18</v>
      </c>
      <c r="F41" s="148" t="s">
        <v>27</v>
      </c>
      <c r="G41" s="149"/>
      <c r="H41" s="149"/>
      <c r="I41" s="149"/>
      <c r="J41" s="149"/>
      <c r="K41" s="150"/>
    </row>
    <row r="42" spans="1:11" ht="12.75">
      <c r="A42" s="157" t="s">
        <v>362</v>
      </c>
      <c r="B42" s="158"/>
      <c r="C42" s="159" t="str">
        <f>IF(B41&lt;=B38,"A área resistente dos parafusos está OK!","Não passou!  A área resistente de parafusos é insuficiente.")</f>
        <v>A área resistente dos parafusos está OK!</v>
      </c>
      <c r="D42" s="160"/>
      <c r="E42" s="160"/>
      <c r="F42" s="160"/>
      <c r="G42" s="160"/>
      <c r="H42" s="160"/>
      <c r="I42" s="160"/>
      <c r="J42" s="160"/>
      <c r="K42" s="161"/>
    </row>
    <row r="43" spans="1:11" ht="12.75">
      <c r="A43" s="1" t="s">
        <v>28</v>
      </c>
      <c r="B43" s="3">
        <f>0.5*(B41+B38)*B34</f>
        <v>1446285.8692268014</v>
      </c>
      <c r="C43" s="2" t="s">
        <v>29</v>
      </c>
      <c r="D43" s="3">
        <f>B43*0.4535924</f>
        <v>656024.278508671</v>
      </c>
      <c r="E43" s="7" t="s">
        <v>1</v>
      </c>
      <c r="F43" s="148" t="s">
        <v>30</v>
      </c>
      <c r="G43" s="149"/>
      <c r="H43" s="149"/>
      <c r="I43" s="149"/>
      <c r="J43" s="149"/>
      <c r="K43" s="150"/>
    </row>
    <row r="44" spans="1:11" ht="12.75">
      <c r="A44" s="1" t="s">
        <v>31</v>
      </c>
      <c r="B44" s="3">
        <f>B27</f>
        <v>310801.12659080606</v>
      </c>
      <c r="C44" s="2" t="s">
        <v>29</v>
      </c>
      <c r="D44" s="3">
        <f>B44*0.4535924</f>
        <v>140977.02893302753</v>
      </c>
      <c r="E44" s="7" t="s">
        <v>1</v>
      </c>
      <c r="F44" s="148" t="s">
        <v>361</v>
      </c>
      <c r="G44" s="149"/>
      <c r="H44" s="149"/>
      <c r="I44" s="149"/>
      <c r="J44" s="149"/>
      <c r="K44" s="150"/>
    </row>
    <row r="45" spans="1:11" ht="12.75">
      <c r="A45" s="1" t="s">
        <v>32</v>
      </c>
      <c r="B45" s="3">
        <f>IF(B43&gt;B44,B43,B44)</f>
        <v>1446285.8692268014</v>
      </c>
      <c r="C45" s="2" t="s">
        <v>29</v>
      </c>
      <c r="D45" s="3">
        <f>B45*0.4535924</f>
        <v>656024.278508671</v>
      </c>
      <c r="E45" s="7" t="s">
        <v>1</v>
      </c>
      <c r="F45" s="148" t="s">
        <v>33</v>
      </c>
      <c r="G45" s="149"/>
      <c r="H45" s="149"/>
      <c r="I45" s="149"/>
      <c r="J45" s="149"/>
      <c r="K45" s="150"/>
    </row>
    <row r="46" spans="1:11" ht="12.75">
      <c r="A46" s="154" t="s">
        <v>86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6"/>
    </row>
    <row r="47" spans="1:11" ht="12.75">
      <c r="A47" s="162" t="s">
        <v>87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4"/>
    </row>
    <row r="48" spans="1:11" ht="12.75">
      <c r="A48" s="165" t="s">
        <v>88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7"/>
    </row>
    <row r="49" spans="1:11" ht="12.75">
      <c r="A49" s="165" t="s">
        <v>89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7"/>
    </row>
    <row r="50" spans="1:11" ht="12.75">
      <c r="A50" s="168" t="s">
        <v>90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70"/>
    </row>
    <row r="51" spans="1:11" ht="12.75">
      <c r="A51" s="12" t="s">
        <v>91</v>
      </c>
      <c r="B51" s="25" t="s">
        <v>92</v>
      </c>
      <c r="C51" s="171" t="s">
        <v>93</v>
      </c>
      <c r="D51" s="172"/>
      <c r="E51" s="172"/>
      <c r="F51" s="172"/>
      <c r="G51" s="172"/>
      <c r="H51" s="172"/>
      <c r="I51" s="172"/>
      <c r="J51" s="172"/>
      <c r="K51" s="173"/>
    </row>
    <row r="52" spans="1:11" ht="18" customHeight="1">
      <c r="A52" s="10" t="s">
        <v>94</v>
      </c>
      <c r="B52" s="28">
        <f>68.1/25.4</f>
        <v>2.6811023622047245</v>
      </c>
      <c r="C52" s="2" t="s">
        <v>47</v>
      </c>
      <c r="D52" s="3">
        <f aca="true" t="shared" si="0" ref="D52:D59">B52*25.4</f>
        <v>68.1</v>
      </c>
      <c r="E52" s="7" t="s">
        <v>2</v>
      </c>
      <c r="F52" s="174" t="s">
        <v>95</v>
      </c>
      <c r="G52" s="175"/>
      <c r="H52" s="175"/>
      <c r="I52" s="175"/>
      <c r="J52" s="175"/>
      <c r="K52" s="176"/>
    </row>
    <row r="53" spans="1:11" ht="12.75">
      <c r="A53" s="10" t="s">
        <v>96</v>
      </c>
      <c r="B53" s="28">
        <f>59.7/25.4</f>
        <v>2.350393700787402</v>
      </c>
      <c r="C53" s="2" t="s">
        <v>47</v>
      </c>
      <c r="D53" s="3">
        <f t="shared" si="0"/>
        <v>59.7</v>
      </c>
      <c r="E53" s="7" t="s">
        <v>2</v>
      </c>
      <c r="F53" s="174" t="s">
        <v>97</v>
      </c>
      <c r="G53" s="175"/>
      <c r="H53" s="175"/>
      <c r="I53" s="175"/>
      <c r="J53" s="175"/>
      <c r="K53" s="176"/>
    </row>
    <row r="54" spans="1:11" ht="12.75">
      <c r="A54" s="10" t="s">
        <v>98</v>
      </c>
      <c r="B54" s="28">
        <f>25/25.4</f>
        <v>0.984251968503937</v>
      </c>
      <c r="C54" s="13" t="s">
        <v>47</v>
      </c>
      <c r="D54" s="3">
        <f t="shared" si="0"/>
        <v>25</v>
      </c>
      <c r="E54" s="7" t="s">
        <v>2</v>
      </c>
      <c r="F54" s="177" t="s">
        <v>99</v>
      </c>
      <c r="G54" s="178"/>
      <c r="H54" s="178"/>
      <c r="I54" s="178"/>
      <c r="J54" s="178"/>
      <c r="K54" s="179"/>
    </row>
    <row r="55" spans="1:11" ht="12.75">
      <c r="A55" s="10" t="s">
        <v>100</v>
      </c>
      <c r="B55" s="28">
        <f>2155.6/25.4</f>
        <v>84.86614173228347</v>
      </c>
      <c r="C55" s="2" t="s">
        <v>47</v>
      </c>
      <c r="D55" s="3">
        <f t="shared" si="0"/>
        <v>2155.6</v>
      </c>
      <c r="E55" s="7" t="s">
        <v>2</v>
      </c>
      <c r="F55" s="174" t="s">
        <v>101</v>
      </c>
      <c r="G55" s="175"/>
      <c r="H55" s="175"/>
      <c r="I55" s="175"/>
      <c r="J55" s="175"/>
      <c r="K55" s="176"/>
    </row>
    <row r="56" spans="1:11" ht="12.75">
      <c r="A56" s="10" t="s">
        <v>102</v>
      </c>
      <c r="B56" s="28">
        <f>1900/25.4</f>
        <v>74.80314960629921</v>
      </c>
      <c r="C56" s="2" t="s">
        <v>47</v>
      </c>
      <c r="D56" s="3">
        <f t="shared" si="0"/>
        <v>1900</v>
      </c>
      <c r="E56" s="7" t="s">
        <v>2</v>
      </c>
      <c r="F56" s="174" t="s">
        <v>103</v>
      </c>
      <c r="G56" s="175"/>
      <c r="H56" s="175"/>
      <c r="I56" s="175"/>
      <c r="J56" s="175"/>
      <c r="K56" s="176"/>
    </row>
    <row r="57" spans="1:11" ht="12.75">
      <c r="A57" s="10" t="s">
        <v>104</v>
      </c>
      <c r="B57" s="28">
        <f>2293/25.4</f>
        <v>90.27559055118111</v>
      </c>
      <c r="C57" s="2" t="s">
        <v>47</v>
      </c>
      <c r="D57" s="3">
        <f t="shared" si="0"/>
        <v>2293</v>
      </c>
      <c r="E57" s="7" t="s">
        <v>2</v>
      </c>
      <c r="F57" s="174" t="s">
        <v>105</v>
      </c>
      <c r="G57" s="175"/>
      <c r="H57" s="175"/>
      <c r="I57" s="175"/>
      <c r="J57" s="175"/>
      <c r="K57" s="176"/>
    </row>
    <row r="58" spans="1:11" ht="12.75">
      <c r="A58" s="10" t="s">
        <v>106</v>
      </c>
      <c r="B58" s="28">
        <f>166/25.4</f>
        <v>6.535433070866142</v>
      </c>
      <c r="C58" s="2" t="s">
        <v>47</v>
      </c>
      <c r="D58" s="3">
        <f t="shared" si="0"/>
        <v>166</v>
      </c>
      <c r="E58" s="7" t="s">
        <v>2</v>
      </c>
      <c r="F58" s="174" t="s">
        <v>107</v>
      </c>
      <c r="G58" s="175"/>
      <c r="H58" s="175"/>
      <c r="I58" s="175"/>
      <c r="J58" s="175"/>
      <c r="K58" s="176"/>
    </row>
    <row r="59" spans="1:11" ht="12.75">
      <c r="A59" s="10" t="s">
        <v>108</v>
      </c>
      <c r="B59" s="14">
        <f>(B56*B54)^0.5</f>
        <v>8.580509731379278</v>
      </c>
      <c r="C59" s="2" t="s">
        <v>47</v>
      </c>
      <c r="D59" s="3">
        <f t="shared" si="0"/>
        <v>217.94494717703364</v>
      </c>
      <c r="E59" s="7" t="s">
        <v>2</v>
      </c>
      <c r="F59" s="174" t="s">
        <v>109</v>
      </c>
      <c r="G59" s="175"/>
      <c r="H59" s="175"/>
      <c r="I59" s="175"/>
      <c r="J59" s="175"/>
      <c r="K59" s="176"/>
    </row>
    <row r="60" spans="1:11" ht="12.75">
      <c r="A60" s="10" t="s">
        <v>110</v>
      </c>
      <c r="B60" s="14">
        <f>IF(B51="a",(B208/B59),(B209/B59))</f>
        <v>0.08817903415885886</v>
      </c>
      <c r="C60" s="2" t="s">
        <v>111</v>
      </c>
      <c r="D60" s="3">
        <f>B60/25.4</f>
        <v>0.0034716155180653098</v>
      </c>
      <c r="E60" s="7" t="s">
        <v>112</v>
      </c>
      <c r="F60" s="174" t="s">
        <v>113</v>
      </c>
      <c r="G60" s="175"/>
      <c r="H60" s="175"/>
      <c r="I60" s="175"/>
      <c r="J60" s="175"/>
      <c r="K60" s="176"/>
    </row>
    <row r="61" spans="1:11" ht="12.75">
      <c r="A61" s="10" t="s">
        <v>114</v>
      </c>
      <c r="B61" s="28">
        <f>(180-31)/25.4</f>
        <v>5.866141732283465</v>
      </c>
      <c r="C61" s="2" t="s">
        <v>47</v>
      </c>
      <c r="D61" s="3">
        <f>B61*25.4</f>
        <v>149</v>
      </c>
      <c r="E61" s="7" t="s">
        <v>2</v>
      </c>
      <c r="F61" s="174" t="s">
        <v>115</v>
      </c>
      <c r="G61" s="175"/>
      <c r="H61" s="175"/>
      <c r="I61" s="175"/>
      <c r="J61" s="175"/>
      <c r="K61" s="176"/>
    </row>
    <row r="62" spans="1:11" ht="12.75">
      <c r="A62" s="10"/>
      <c r="B62" s="25" t="s">
        <v>116</v>
      </c>
      <c r="C62" s="2" t="s">
        <v>117</v>
      </c>
      <c r="D62" s="3" t="s">
        <v>117</v>
      </c>
      <c r="E62" s="7" t="s">
        <v>117</v>
      </c>
      <c r="F62" s="174" t="s">
        <v>118</v>
      </c>
      <c r="G62" s="175"/>
      <c r="H62" s="175"/>
      <c r="I62" s="175"/>
      <c r="J62" s="175"/>
      <c r="K62" s="176"/>
    </row>
    <row r="63" spans="1:11" ht="12.75">
      <c r="A63" s="10" t="s">
        <v>119</v>
      </c>
      <c r="B63" s="28">
        <v>28000000</v>
      </c>
      <c r="C63" s="2" t="s">
        <v>0</v>
      </c>
      <c r="D63" s="3">
        <f>B63*6.894757</f>
        <v>193053196</v>
      </c>
      <c r="E63" s="7" t="s">
        <v>120</v>
      </c>
      <c r="F63" s="174" t="s">
        <v>121</v>
      </c>
      <c r="G63" s="175"/>
      <c r="H63" s="175"/>
      <c r="I63" s="175"/>
      <c r="J63" s="175"/>
      <c r="K63" s="176"/>
    </row>
    <row r="64" spans="1:11" ht="12.75">
      <c r="A64" s="10" t="s">
        <v>122</v>
      </c>
      <c r="B64" s="28">
        <v>2300</v>
      </c>
      <c r="C64" s="2" t="s">
        <v>0</v>
      </c>
      <c r="D64" s="3">
        <f>B64*6.894757</f>
        <v>15857.9411</v>
      </c>
      <c r="E64" s="7" t="s">
        <v>9</v>
      </c>
      <c r="F64" s="174" t="s">
        <v>123</v>
      </c>
      <c r="G64" s="175"/>
      <c r="H64" s="175"/>
      <c r="I64" s="175"/>
      <c r="J64" s="175"/>
      <c r="K64" s="176"/>
    </row>
    <row r="65" spans="1:11" ht="12.75">
      <c r="A65" s="10" t="s">
        <v>124</v>
      </c>
      <c r="B65" s="28">
        <v>20000</v>
      </c>
      <c r="C65" s="2" t="s">
        <v>0</v>
      </c>
      <c r="D65" s="3">
        <f>B65*6.894757</f>
        <v>137895.14</v>
      </c>
      <c r="E65" s="7" t="s">
        <v>9</v>
      </c>
      <c r="F65" s="174" t="s">
        <v>125</v>
      </c>
      <c r="G65" s="175"/>
      <c r="H65" s="175"/>
      <c r="I65" s="175"/>
      <c r="J65" s="175"/>
      <c r="K65" s="176"/>
    </row>
    <row r="66" spans="1:11" ht="12.75">
      <c r="A66" s="10"/>
      <c r="B66" s="25" t="s">
        <v>126</v>
      </c>
      <c r="C66" s="2" t="s">
        <v>117</v>
      </c>
      <c r="D66" s="3" t="s">
        <v>117</v>
      </c>
      <c r="E66" s="7" t="s">
        <v>117</v>
      </c>
      <c r="F66" s="174" t="s">
        <v>127</v>
      </c>
      <c r="G66" s="175"/>
      <c r="H66" s="175"/>
      <c r="I66" s="175"/>
      <c r="J66" s="175"/>
      <c r="K66" s="176"/>
    </row>
    <row r="67" spans="1:11" ht="12.75">
      <c r="A67" s="10" t="s">
        <v>128</v>
      </c>
      <c r="B67" s="28">
        <v>2300</v>
      </c>
      <c r="C67" s="2" t="s">
        <v>0</v>
      </c>
      <c r="D67" s="3">
        <f>B67*6.894757</f>
        <v>15857.9411</v>
      </c>
      <c r="E67" s="7" t="s">
        <v>9</v>
      </c>
      <c r="F67" s="174" t="s">
        <v>129</v>
      </c>
      <c r="G67" s="175"/>
      <c r="H67" s="175"/>
      <c r="I67" s="175"/>
      <c r="J67" s="175"/>
      <c r="K67" s="176"/>
    </row>
    <row r="68" spans="1:11" ht="12.75">
      <c r="A68" s="10" t="s">
        <v>130</v>
      </c>
      <c r="B68" s="28">
        <v>20000</v>
      </c>
      <c r="C68" s="2" t="s">
        <v>0</v>
      </c>
      <c r="D68" s="3">
        <f>B68*6.894757</f>
        <v>137895.14</v>
      </c>
      <c r="E68" s="7" t="s">
        <v>9</v>
      </c>
      <c r="F68" s="174" t="s">
        <v>131</v>
      </c>
      <c r="G68" s="175"/>
      <c r="H68" s="175"/>
      <c r="I68" s="175"/>
      <c r="J68" s="175"/>
      <c r="K68" s="176"/>
    </row>
    <row r="69" spans="1:11" ht="12.75">
      <c r="A69" s="10" t="s">
        <v>132</v>
      </c>
      <c r="B69" s="14">
        <f>IF(B51="a",(B52+(0.5*B53)),IF(B51="b",((B55-B56)/2),IF(B51="c",((B55-B56)/2))))</f>
        <v>3.8562992125984255</v>
      </c>
      <c r="C69" s="2" t="s">
        <v>47</v>
      </c>
      <c r="D69" s="3">
        <f>B69*25.4</f>
        <v>97.95</v>
      </c>
      <c r="E69" s="7" t="s">
        <v>2</v>
      </c>
      <c r="F69" s="174" t="s">
        <v>133</v>
      </c>
      <c r="G69" s="175"/>
      <c r="H69" s="175"/>
      <c r="I69" s="175"/>
      <c r="J69" s="175"/>
      <c r="K69" s="176"/>
    </row>
    <row r="70" spans="1:11" ht="12.75">
      <c r="A70" s="10" t="s">
        <v>134</v>
      </c>
      <c r="B70" s="14">
        <f>IF(B51="a",((B52+B53+B71)/2),IF(B51="b",((B69+B71)/2),IF(B51="c",((B55-B24)/2))))</f>
        <v>4.205430109573289</v>
      </c>
      <c r="C70" s="2" t="s">
        <v>47</v>
      </c>
      <c r="D70" s="3">
        <f>B70*25.4</f>
        <v>106.81792478316153</v>
      </c>
      <c r="E70" s="7" t="s">
        <v>2</v>
      </c>
      <c r="F70" s="174" t="s">
        <v>135</v>
      </c>
      <c r="G70" s="175"/>
      <c r="H70" s="175"/>
      <c r="I70" s="175"/>
      <c r="J70" s="175"/>
      <c r="K70" s="176"/>
    </row>
    <row r="71" spans="1:11" ht="12.75">
      <c r="A71" s="10" t="s">
        <v>136</v>
      </c>
      <c r="B71" s="14">
        <f>(B55-B24)/2</f>
        <v>3.379364156154452</v>
      </c>
      <c r="C71" s="2" t="s">
        <v>47</v>
      </c>
      <c r="D71" s="3">
        <f>B71*25.4</f>
        <v>85.83584956632308</v>
      </c>
      <c r="E71" s="7" t="s">
        <v>2</v>
      </c>
      <c r="F71" s="174" t="s">
        <v>137</v>
      </c>
      <c r="G71" s="175"/>
      <c r="H71" s="175"/>
      <c r="I71" s="175"/>
      <c r="J71" s="175"/>
      <c r="K71" s="176"/>
    </row>
    <row r="72" spans="1:11" ht="12.75">
      <c r="A72" s="180" t="s">
        <v>138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2"/>
    </row>
    <row r="73" spans="1:11" ht="12.75">
      <c r="A73" s="10" t="s">
        <v>139</v>
      </c>
      <c r="B73" s="15">
        <f>3.1416*(B56^2)/4*B20</f>
        <v>285206.27800407837</v>
      </c>
      <c r="C73" s="2" t="s">
        <v>29</v>
      </c>
      <c r="D73" s="3">
        <f>B73*0.4535924</f>
        <v>129367.40013493712</v>
      </c>
      <c r="E73" s="7" t="s">
        <v>1</v>
      </c>
      <c r="F73" s="174" t="s">
        <v>140</v>
      </c>
      <c r="G73" s="175"/>
      <c r="H73" s="175"/>
      <c r="I73" s="175"/>
      <c r="J73" s="175"/>
      <c r="K73" s="176"/>
    </row>
    <row r="74" spans="1:11" ht="12.75">
      <c r="A74" s="10" t="s">
        <v>141</v>
      </c>
      <c r="B74" s="15">
        <f>B25-B73</f>
        <v>25594.84858672769</v>
      </c>
      <c r="C74" s="2" t="s">
        <v>29</v>
      </c>
      <c r="D74" s="3">
        <f>B74*0.4535924</f>
        <v>11609.628798090422</v>
      </c>
      <c r="E74" s="7" t="s">
        <v>1</v>
      </c>
      <c r="F74" s="174" t="s">
        <v>142</v>
      </c>
      <c r="G74" s="175"/>
      <c r="H74" s="175"/>
      <c r="I74" s="175"/>
      <c r="J74" s="175"/>
      <c r="K74" s="176"/>
    </row>
    <row r="75" spans="1:11" ht="21" customHeight="1">
      <c r="A75" s="10" t="s">
        <v>143</v>
      </c>
      <c r="B75" s="15">
        <f>B44-B25</f>
        <v>0</v>
      </c>
      <c r="C75" s="2" t="s">
        <v>29</v>
      </c>
      <c r="D75" s="3">
        <f>B75*0.4535924</f>
        <v>0</v>
      </c>
      <c r="E75" s="7" t="s">
        <v>1</v>
      </c>
      <c r="F75" s="174" t="s">
        <v>144</v>
      </c>
      <c r="G75" s="175"/>
      <c r="H75" s="175"/>
      <c r="I75" s="175"/>
      <c r="J75" s="175"/>
      <c r="K75" s="176"/>
    </row>
    <row r="76" spans="1:11" ht="12.75">
      <c r="A76" s="10" t="s">
        <v>145</v>
      </c>
      <c r="B76" s="15">
        <f>B73*B69</f>
        <v>1099840.745295255</v>
      </c>
      <c r="C76" s="2" t="s">
        <v>56</v>
      </c>
      <c r="D76" s="3">
        <f>B76*0.1152124</f>
        <v>126715.29188325503</v>
      </c>
      <c r="E76" s="7" t="s">
        <v>57</v>
      </c>
      <c r="F76" s="174" t="s">
        <v>146</v>
      </c>
      <c r="G76" s="175"/>
      <c r="H76" s="175"/>
      <c r="I76" s="175"/>
      <c r="J76" s="175"/>
      <c r="K76" s="176"/>
    </row>
    <row r="77" spans="1:11" ht="12.75">
      <c r="A77" s="10" t="s">
        <v>147</v>
      </c>
      <c r="B77" s="15">
        <f>B74*B70</f>
        <v>107637.34689659397</v>
      </c>
      <c r="C77" s="2" t="s">
        <v>56</v>
      </c>
      <c r="D77" s="3">
        <f>B77*0.1152124</f>
        <v>12401.157065589143</v>
      </c>
      <c r="E77" s="7" t="s">
        <v>57</v>
      </c>
      <c r="F77" s="174" t="s">
        <v>148</v>
      </c>
      <c r="G77" s="175"/>
      <c r="H77" s="175"/>
      <c r="I77" s="175"/>
      <c r="J77" s="175"/>
      <c r="K77" s="176"/>
    </row>
    <row r="78" spans="1:11" ht="12.75">
      <c r="A78" s="10" t="s">
        <v>149</v>
      </c>
      <c r="B78" s="15">
        <f>B75*B71</f>
        <v>0</v>
      </c>
      <c r="C78" s="2" t="s">
        <v>56</v>
      </c>
      <c r="D78" s="3">
        <f>B78*0.1152124</f>
        <v>0</v>
      </c>
      <c r="E78" s="7" t="s">
        <v>57</v>
      </c>
      <c r="F78" s="174" t="s">
        <v>150</v>
      </c>
      <c r="G78" s="175"/>
      <c r="H78" s="175"/>
      <c r="I78" s="175"/>
      <c r="J78" s="175"/>
      <c r="K78" s="176"/>
    </row>
    <row r="79" spans="1:11" ht="12.75">
      <c r="A79" s="10" t="s">
        <v>151</v>
      </c>
      <c r="B79" s="15">
        <f>SUM(B76:B78)</f>
        <v>1207478.092191849</v>
      </c>
      <c r="C79" s="2" t="s">
        <v>56</v>
      </c>
      <c r="D79" s="3">
        <f>B79*0.1152124</f>
        <v>139116.4489488442</v>
      </c>
      <c r="E79" s="7" t="s">
        <v>57</v>
      </c>
      <c r="F79" s="174" t="s">
        <v>152</v>
      </c>
      <c r="G79" s="175"/>
      <c r="H79" s="175"/>
      <c r="I79" s="175"/>
      <c r="J79" s="175"/>
      <c r="K79" s="176"/>
    </row>
    <row r="80" spans="1:11" ht="12.75">
      <c r="A80" s="10" t="s">
        <v>153</v>
      </c>
      <c r="B80" s="32">
        <f>IF(B51="a",(B211*B79)/(B221*(B53^2)*B56),0)</f>
        <v>2606.632229305597</v>
      </c>
      <c r="C80" s="13" t="s">
        <v>0</v>
      </c>
      <c r="D80" s="3">
        <f>B80*6.894757</f>
        <v>17972.09580943037</v>
      </c>
      <c r="E80" s="7" t="s">
        <v>9</v>
      </c>
      <c r="F80" s="174" t="s">
        <v>154</v>
      </c>
      <c r="G80" s="175"/>
      <c r="H80" s="175"/>
      <c r="I80" s="175"/>
      <c r="J80" s="175"/>
      <c r="K80" s="176"/>
    </row>
    <row r="81" spans="1:11" ht="12.75">
      <c r="A81" s="10" t="s">
        <v>155</v>
      </c>
      <c r="B81" s="32">
        <f>IF(B51="a",(((1.33*B61*B60)+1)*B79)/(B221*(B61^2)*B56),0)</f>
        <v>706.3510938149828</v>
      </c>
      <c r="C81" s="13" t="s">
        <v>0</v>
      </c>
      <c r="D81" s="3">
        <f>B81*6.894757</f>
        <v>4870.11914853851</v>
      </c>
      <c r="E81" s="7" t="s">
        <v>9</v>
      </c>
      <c r="F81" s="174" t="s">
        <v>156</v>
      </c>
      <c r="G81" s="175"/>
      <c r="H81" s="175"/>
      <c r="I81" s="175"/>
      <c r="J81" s="175"/>
      <c r="K81" s="176"/>
    </row>
    <row r="82" spans="1:11" ht="21" customHeight="1">
      <c r="A82" s="10" t="s">
        <v>157</v>
      </c>
      <c r="B82" s="33">
        <f>IF(B51="a",((B215*B79)/((B61^2)*B56))-(B216*B81),(B215*B79)/((B61^2)*B56))</f>
        <v>1092.4732280181584</v>
      </c>
      <c r="C82" s="13" t="s">
        <v>0</v>
      </c>
      <c r="D82" s="3">
        <f>B82*6.894757</f>
        <v>7532.337436190794</v>
      </c>
      <c r="E82" s="7" t="s">
        <v>9</v>
      </c>
      <c r="F82" s="174" t="s">
        <v>158</v>
      </c>
      <c r="G82" s="175"/>
      <c r="H82" s="175"/>
      <c r="I82" s="175"/>
      <c r="J82" s="175"/>
      <c r="K82" s="176"/>
    </row>
    <row r="83" spans="1:11" ht="12.75">
      <c r="A83" s="183" t="s">
        <v>159</v>
      </c>
      <c r="B83" s="184"/>
      <c r="C83" s="185">
        <f>(B80+B81)/2</f>
        <v>1656.49166156029</v>
      </c>
      <c r="D83" s="185"/>
      <c r="E83" s="17" t="s">
        <v>0</v>
      </c>
      <c r="F83" s="16">
        <f>C83*6.894757</f>
        <v>11421.10747898444</v>
      </c>
      <c r="G83" s="17" t="s">
        <v>9</v>
      </c>
      <c r="H83" s="177" t="s">
        <v>160</v>
      </c>
      <c r="I83" s="178"/>
      <c r="J83" s="178"/>
      <c r="K83" s="179"/>
    </row>
    <row r="84" spans="1:11" ht="12.75">
      <c r="A84" s="183" t="s">
        <v>161</v>
      </c>
      <c r="B84" s="184"/>
      <c r="C84" s="185">
        <f>(B80+B82)/2</f>
        <v>1849.5527286618776</v>
      </c>
      <c r="D84" s="185"/>
      <c r="E84" s="17" t="s">
        <v>0</v>
      </c>
      <c r="F84" s="16">
        <f>C84*6.894757</f>
        <v>12752.216622810582</v>
      </c>
      <c r="G84" s="17" t="s">
        <v>9</v>
      </c>
      <c r="H84" s="177" t="s">
        <v>160</v>
      </c>
      <c r="I84" s="178"/>
      <c r="J84" s="178"/>
      <c r="K84" s="179"/>
    </row>
    <row r="85" spans="1:11" ht="12.75">
      <c r="A85" s="180" t="s">
        <v>162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7"/>
    </row>
    <row r="86" spans="1:11" ht="12.75">
      <c r="A86" s="188" t="s">
        <v>163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2"/>
    </row>
    <row r="87" spans="1:11" ht="12.75">
      <c r="A87" s="188" t="s">
        <v>164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2"/>
    </row>
    <row r="88" spans="1:11" ht="12.75">
      <c r="A88" s="188" t="s">
        <v>165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2"/>
    </row>
    <row r="89" spans="1:11" ht="12.75">
      <c r="A89" s="188" t="s">
        <v>166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2"/>
    </row>
    <row r="90" spans="1:11" ht="12.75">
      <c r="A90" s="188" t="s">
        <v>167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2"/>
    </row>
    <row r="91" spans="1:11" ht="12.75">
      <c r="A91" s="183" t="s">
        <v>168</v>
      </c>
      <c r="B91" s="184"/>
      <c r="C91" s="29">
        <v>1</v>
      </c>
      <c r="D91" s="189" t="s">
        <v>169</v>
      </c>
      <c r="E91" s="189"/>
      <c r="F91" s="189"/>
      <c r="G91" s="189"/>
      <c r="H91" s="189"/>
      <c r="I91" s="189"/>
      <c r="J91" s="189"/>
      <c r="K91" s="190"/>
    </row>
    <row r="92" spans="1:11" ht="31.5" customHeight="1">
      <c r="A92" s="183" t="s">
        <v>170</v>
      </c>
      <c r="B92" s="184"/>
      <c r="C92" s="191">
        <f>IF(C91=1,MIN(1.5*B64,2.5*B67),IF(C91=2,MIN(1.5*B64,1.5*B67),IF(C91=3,MIN(1.5*B64,1.5*B67),IF(C91=4,"Não há tensão longitudinal"," "))))</f>
        <v>3450</v>
      </c>
      <c r="D92" s="191"/>
      <c r="E92" s="17" t="s">
        <v>0</v>
      </c>
      <c r="F92" s="18">
        <f>C92*6.894757</f>
        <v>23786.911650000002</v>
      </c>
      <c r="G92" s="17" t="s">
        <v>120</v>
      </c>
      <c r="H92" s="177" t="s">
        <v>171</v>
      </c>
      <c r="I92" s="178"/>
      <c r="J92" s="178"/>
      <c r="K92" s="179"/>
    </row>
    <row r="93" spans="1:11" ht="15.75" customHeight="1">
      <c r="A93" s="183" t="s">
        <v>172</v>
      </c>
      <c r="B93" s="184"/>
      <c r="C93" s="192">
        <f>IF(C91=4,"Não há tensão radial",B64)</f>
        <v>2300</v>
      </c>
      <c r="D93" s="193"/>
      <c r="E93" s="17" t="s">
        <v>0</v>
      </c>
      <c r="F93" s="18">
        <f>C93*6.894757</f>
        <v>15857.9411</v>
      </c>
      <c r="G93" s="7" t="s">
        <v>120</v>
      </c>
      <c r="H93" s="177" t="s">
        <v>122</v>
      </c>
      <c r="I93" s="178"/>
      <c r="J93" s="178"/>
      <c r="K93" s="179"/>
    </row>
    <row r="94" spans="1:11" ht="17.25" customHeight="1">
      <c r="A94" s="183" t="s">
        <v>173</v>
      </c>
      <c r="B94" s="184"/>
      <c r="C94" s="194">
        <f>B64</f>
        <v>2300</v>
      </c>
      <c r="D94" s="194"/>
      <c r="E94" s="17" t="s">
        <v>0</v>
      </c>
      <c r="F94" s="18">
        <f>C94*6.894757</f>
        <v>15857.9411</v>
      </c>
      <c r="G94" s="7" t="s">
        <v>120</v>
      </c>
      <c r="H94" s="177" t="s">
        <v>122</v>
      </c>
      <c r="I94" s="178"/>
      <c r="J94" s="178"/>
      <c r="K94" s="179"/>
    </row>
    <row r="95" spans="1:11" ht="12.75">
      <c r="A95" s="195" t="s">
        <v>174</v>
      </c>
      <c r="B95" s="196"/>
      <c r="C95" s="201" t="str">
        <f>IF(B80&lt;=C92,"A tensão longitudinal está Ok","A tensão longitudinal não passou")</f>
        <v>A tensão longitudinal está Ok</v>
      </c>
      <c r="D95" s="202"/>
      <c r="E95" s="202"/>
      <c r="F95" s="202"/>
      <c r="G95" s="202"/>
      <c r="H95" s="202"/>
      <c r="I95" s="202"/>
      <c r="J95" s="202"/>
      <c r="K95" s="203"/>
    </row>
    <row r="96" spans="1:11" ht="12.75">
      <c r="A96" s="197"/>
      <c r="B96" s="198"/>
      <c r="C96" s="201" t="str">
        <f>IF(B81&lt;=C93,"A tensão radial está Ok","A tensão radial não passou")</f>
        <v>A tensão radial está Ok</v>
      </c>
      <c r="D96" s="202"/>
      <c r="E96" s="202"/>
      <c r="F96" s="202"/>
      <c r="G96" s="202"/>
      <c r="H96" s="202"/>
      <c r="I96" s="202"/>
      <c r="J96" s="202"/>
      <c r="K96" s="203"/>
    </row>
    <row r="97" spans="1:11" ht="12.75">
      <c r="A97" s="197"/>
      <c r="B97" s="198"/>
      <c r="C97" s="201" t="str">
        <f>IF(B82&lt;=C94,"A tensão tangencial está Ok","A tensão tangencial não passou")</f>
        <v>A tensão tangencial está Ok</v>
      </c>
      <c r="D97" s="202"/>
      <c r="E97" s="202"/>
      <c r="F97" s="202"/>
      <c r="G97" s="202"/>
      <c r="H97" s="202"/>
      <c r="I97" s="202"/>
      <c r="J97" s="202"/>
      <c r="K97" s="203"/>
    </row>
    <row r="98" spans="1:11" ht="12.75">
      <c r="A98" s="197"/>
      <c r="B98" s="198"/>
      <c r="C98" s="201" t="str">
        <f>IF(C83&lt;=B64,"Ok, ((SHO+SRO)/2) é menor do que Sfp","Não passou: ((SHO+SRO)/2) é maior do que Sfp")</f>
        <v>Ok, ((SHO+SRO)/2) é menor do que Sfp</v>
      </c>
      <c r="D98" s="202"/>
      <c r="E98" s="202"/>
      <c r="F98" s="202"/>
      <c r="G98" s="202"/>
      <c r="H98" s="202"/>
      <c r="I98" s="202"/>
      <c r="J98" s="202"/>
      <c r="K98" s="203"/>
    </row>
    <row r="99" spans="1:11" ht="12.75">
      <c r="A99" s="199"/>
      <c r="B99" s="200"/>
      <c r="C99" s="201" t="str">
        <f>IF(C84&lt;=B64,"Ok, ((SHO+STO)/2) é menor do que Sfp","Não passou: ((SHO+STO)/2) é mairo do que Sfp")</f>
        <v>Ok, ((SHO+STO)/2) é menor do que Sfp</v>
      </c>
      <c r="D99" s="202"/>
      <c r="E99" s="202"/>
      <c r="F99" s="202"/>
      <c r="G99" s="202"/>
      <c r="H99" s="202"/>
      <c r="I99" s="202"/>
      <c r="J99" s="202"/>
      <c r="K99" s="203"/>
    </row>
    <row r="100" spans="1:11" ht="12.75">
      <c r="A100" s="180" t="s">
        <v>175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2"/>
    </row>
    <row r="101" spans="1:11" ht="12.75">
      <c r="A101" s="10" t="s">
        <v>176</v>
      </c>
      <c r="B101" s="15">
        <f>B43*(B55-B24)/2</f>
        <v>4887526.626017738</v>
      </c>
      <c r="C101" s="2" t="s">
        <v>56</v>
      </c>
      <c r="D101" s="16">
        <f>B101*0.1152124</f>
        <v>563103.6726474061</v>
      </c>
      <c r="E101" s="7" t="s">
        <v>57</v>
      </c>
      <c r="F101" s="174" t="s">
        <v>177</v>
      </c>
      <c r="G101" s="175"/>
      <c r="H101" s="175"/>
      <c r="I101" s="175"/>
      <c r="J101" s="175"/>
      <c r="K101" s="176"/>
    </row>
    <row r="102" spans="1:11" ht="12.75">
      <c r="A102" s="10" t="s">
        <v>178</v>
      </c>
      <c r="B102" s="32">
        <f>IF(B51="a",(B211*B101)/(B221*(B53^2)*B56),0)</f>
        <v>10550.903165324593</v>
      </c>
      <c r="C102" s="13" t="s">
        <v>0</v>
      </c>
      <c r="D102" s="16">
        <f>B102*6.894757</f>
        <v>72745.9134554439</v>
      </c>
      <c r="E102" s="7" t="s">
        <v>120</v>
      </c>
      <c r="F102" s="174" t="s">
        <v>179</v>
      </c>
      <c r="G102" s="175"/>
      <c r="H102" s="175"/>
      <c r="I102" s="175"/>
      <c r="J102" s="175"/>
      <c r="K102" s="176"/>
    </row>
    <row r="103" spans="1:11" ht="12.75">
      <c r="A103" s="10" t="s">
        <v>180</v>
      </c>
      <c r="B103" s="32">
        <f>IF(B51="a",(((1.33*B61*B60)+1)*B101)/(B221*(B61^2)*B56),0)</f>
        <v>2859.1075901598765</v>
      </c>
      <c r="C103" s="13" t="s">
        <v>0</v>
      </c>
      <c r="D103" s="16">
        <f>B103*6.894757</f>
        <v>19712.85207100794</v>
      </c>
      <c r="E103" s="7" t="s">
        <v>120</v>
      </c>
      <c r="F103" s="174" t="s">
        <v>181</v>
      </c>
      <c r="G103" s="175"/>
      <c r="H103" s="175"/>
      <c r="I103" s="175"/>
      <c r="J103" s="175"/>
      <c r="K103" s="176"/>
    </row>
    <row r="104" spans="1:11" ht="24.75" customHeight="1">
      <c r="A104" s="10" t="s">
        <v>182</v>
      </c>
      <c r="B104" s="33">
        <f>IF(B51="a",((B215*B101)/((B61^2)*B56))-(B216*B103),(B215*B101)/((B61^2)*B56))</f>
        <v>4422.019765557727</v>
      </c>
      <c r="C104" s="13" t="s">
        <v>0</v>
      </c>
      <c r="D104" s="16">
        <f>B104*6.894757</f>
        <v>30488.751732717497</v>
      </c>
      <c r="E104" s="7" t="s">
        <v>120</v>
      </c>
      <c r="F104" s="174" t="s">
        <v>183</v>
      </c>
      <c r="G104" s="175"/>
      <c r="H104" s="175"/>
      <c r="I104" s="175"/>
      <c r="J104" s="175"/>
      <c r="K104" s="176"/>
    </row>
    <row r="105" spans="1:11" ht="12.75">
      <c r="A105" s="183" t="s">
        <v>184</v>
      </c>
      <c r="B105" s="184"/>
      <c r="C105" s="204">
        <f>(B102+B103)/2</f>
        <v>6705.0053777422345</v>
      </c>
      <c r="D105" s="205"/>
      <c r="E105" s="17" t="s">
        <v>0</v>
      </c>
      <c r="F105" s="3">
        <f>C105*6.894757</f>
        <v>46229.38276322592</v>
      </c>
      <c r="G105" s="7" t="s">
        <v>120</v>
      </c>
      <c r="H105" s="177" t="s">
        <v>185</v>
      </c>
      <c r="I105" s="178"/>
      <c r="J105" s="178"/>
      <c r="K105" s="179"/>
    </row>
    <row r="106" spans="1:11" ht="12.75">
      <c r="A106" s="183" t="s">
        <v>186</v>
      </c>
      <c r="B106" s="184"/>
      <c r="C106" s="204">
        <f>(B102+B104)/2</f>
        <v>7486.46146544116</v>
      </c>
      <c r="D106" s="205"/>
      <c r="E106" s="17" t="s">
        <v>0</v>
      </c>
      <c r="F106" s="3">
        <f>C106*6.894757</f>
        <v>51617.3325940807</v>
      </c>
      <c r="G106" s="7" t="s">
        <v>120</v>
      </c>
      <c r="H106" s="177" t="s">
        <v>185</v>
      </c>
      <c r="I106" s="178"/>
      <c r="J106" s="178"/>
      <c r="K106" s="179"/>
    </row>
    <row r="107" spans="1:11" ht="12.75">
      <c r="A107" s="206" t="s">
        <v>187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8"/>
    </row>
    <row r="108" spans="1:11" ht="12.75">
      <c r="A108" s="195" t="s">
        <v>188</v>
      </c>
      <c r="B108" s="196"/>
      <c r="C108" s="201" t="str">
        <f>IF(B102&lt;=1.5*B65,"A tensão longitudinal está Ok","A tensão longitudinal não passou")</f>
        <v>A tensão longitudinal está Ok</v>
      </c>
      <c r="D108" s="202"/>
      <c r="E108" s="202"/>
      <c r="F108" s="202"/>
      <c r="G108" s="202"/>
      <c r="H108" s="202"/>
      <c r="I108" s="202"/>
      <c r="J108" s="202"/>
      <c r="K108" s="203"/>
    </row>
    <row r="109" spans="1:11" ht="12.75">
      <c r="A109" s="197"/>
      <c r="B109" s="198"/>
      <c r="C109" s="201" t="str">
        <f>IF(B103&lt;=B65,"A tensão radial está Ok","A tensão radial não passou")</f>
        <v>A tensão radial está Ok</v>
      </c>
      <c r="D109" s="202"/>
      <c r="E109" s="202"/>
      <c r="F109" s="202"/>
      <c r="G109" s="202"/>
      <c r="H109" s="202"/>
      <c r="I109" s="202"/>
      <c r="J109" s="202"/>
      <c r="K109" s="203"/>
    </row>
    <row r="110" spans="1:11" ht="12.75">
      <c r="A110" s="197"/>
      <c r="B110" s="198"/>
      <c r="C110" s="201" t="str">
        <f>IF(B104&lt;=B65,"A tensão tangencial está Ok","A tensão tangencial não passou")</f>
        <v>A tensão tangencial está Ok</v>
      </c>
      <c r="D110" s="202"/>
      <c r="E110" s="202"/>
      <c r="F110" s="202"/>
      <c r="G110" s="202"/>
      <c r="H110" s="202"/>
      <c r="I110" s="202"/>
      <c r="J110" s="202"/>
      <c r="K110" s="203"/>
    </row>
    <row r="111" spans="1:11" ht="12.75">
      <c r="A111" s="197"/>
      <c r="B111" s="198"/>
      <c r="C111" s="201" t="str">
        <f>IF(C105&lt;=B65,"Ok, ((SHA+SRA)/2) é menor do que Sff","Não passou: ((SHA+SRA)/2) é maior do que Sff")</f>
        <v>Ok, ((SHA+SRA)/2) é menor do que Sff</v>
      </c>
      <c r="D111" s="202"/>
      <c r="E111" s="202"/>
      <c r="F111" s="202"/>
      <c r="G111" s="202"/>
      <c r="H111" s="202"/>
      <c r="I111" s="202"/>
      <c r="J111" s="202"/>
      <c r="K111" s="203"/>
    </row>
    <row r="112" spans="1:11" ht="12.75">
      <c r="A112" s="199"/>
      <c r="B112" s="200"/>
      <c r="C112" s="201" t="str">
        <f>IF(C106&lt;=B65,"Ok, ((SHA+STA)/2) é menor do que Sff","Não passou: ((SHA+STA)/2) é maior do que Sff")</f>
        <v>Ok, ((SHA+STA)/2) é menor do que Sff</v>
      </c>
      <c r="D112" s="202"/>
      <c r="E112" s="202"/>
      <c r="F112" s="202"/>
      <c r="G112" s="202"/>
      <c r="H112" s="202"/>
      <c r="I112" s="202"/>
      <c r="J112" s="202"/>
      <c r="K112" s="203"/>
    </row>
    <row r="113" spans="1:11" ht="21.75" customHeight="1">
      <c r="A113" s="206" t="s">
        <v>189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10"/>
    </row>
    <row r="114" spans="1:11" ht="12.75">
      <c r="A114" s="10" t="s">
        <v>190</v>
      </c>
      <c r="B114" s="28">
        <v>50172.84924647367</v>
      </c>
      <c r="C114" s="2" t="s">
        <v>0</v>
      </c>
      <c r="D114" s="16">
        <f>B114*6.894757</f>
        <v>345929.60355206905</v>
      </c>
      <c r="E114" s="7" t="s">
        <v>120</v>
      </c>
      <c r="F114" s="174" t="s">
        <v>191</v>
      </c>
      <c r="G114" s="175"/>
      <c r="H114" s="175"/>
      <c r="I114" s="175"/>
      <c r="J114" s="175"/>
      <c r="K114" s="176"/>
    </row>
    <row r="115" spans="1:12" ht="12.75">
      <c r="A115" s="19" t="s">
        <v>192</v>
      </c>
      <c r="B115" s="20">
        <f>+B114*0.5</f>
        <v>25086.424623236835</v>
      </c>
      <c r="C115" s="2" t="s">
        <v>0</v>
      </c>
      <c r="D115" s="16">
        <f>B115*6.894757</f>
        <v>172964.80177603452</v>
      </c>
      <c r="E115" s="7" t="s">
        <v>120</v>
      </c>
      <c r="F115" s="174" t="s">
        <v>193</v>
      </c>
      <c r="G115" s="175"/>
      <c r="H115" s="175"/>
      <c r="I115" s="175"/>
      <c r="J115" s="175"/>
      <c r="K115" s="176"/>
      <c r="L115" s="28"/>
    </row>
    <row r="116" spans="1:11" ht="18.75" customHeight="1">
      <c r="A116" s="19" t="s">
        <v>194</v>
      </c>
      <c r="B116" s="16">
        <f>+B115*B37*B36</f>
        <v>3193401.508839556</v>
      </c>
      <c r="C116" s="2" t="s">
        <v>29</v>
      </c>
      <c r="D116" s="30">
        <f>B116*0.4535924</f>
        <v>1448502.6545581555</v>
      </c>
      <c r="E116" s="7" t="s">
        <v>1</v>
      </c>
      <c r="F116" s="174" t="s">
        <v>195</v>
      </c>
      <c r="G116" s="175"/>
      <c r="H116" s="175"/>
      <c r="I116" s="175"/>
      <c r="J116" s="175"/>
      <c r="K116" s="176"/>
    </row>
    <row r="117" spans="1:11" ht="18" customHeight="1">
      <c r="A117" s="10" t="s">
        <v>196</v>
      </c>
      <c r="B117" s="15">
        <f>B116*(B55-B24)/2</f>
        <v>10791666.59518194</v>
      </c>
      <c r="C117" s="2" t="s">
        <v>56</v>
      </c>
      <c r="D117" s="16">
        <f>B117*0.1152124</f>
        <v>1243333.80843074</v>
      </c>
      <c r="E117" s="7" t="s">
        <v>57</v>
      </c>
      <c r="F117" s="174" t="s">
        <v>197</v>
      </c>
      <c r="G117" s="175"/>
      <c r="H117" s="175"/>
      <c r="I117" s="175"/>
      <c r="J117" s="175"/>
      <c r="K117" s="176"/>
    </row>
    <row r="118" spans="1:11" ht="20.25" customHeight="1">
      <c r="A118" s="10" t="s">
        <v>198</v>
      </c>
      <c r="B118" s="32">
        <f>IF(B51="a",(B211*B117)/(B221*(B53^2)*B56),0)</f>
        <v>23296.41103786788</v>
      </c>
      <c r="C118" s="13" t="s">
        <v>0</v>
      </c>
      <c r="D118" s="16">
        <f>B118*6.894757</f>
        <v>160623.09307821686</v>
      </c>
      <c r="E118" s="7" t="s">
        <v>120</v>
      </c>
      <c r="F118" s="174" t="s">
        <v>199</v>
      </c>
      <c r="G118" s="175"/>
      <c r="H118" s="175"/>
      <c r="I118" s="175"/>
      <c r="J118" s="175"/>
      <c r="K118" s="176"/>
    </row>
    <row r="119" spans="1:11" ht="21" customHeight="1">
      <c r="A119" s="10" t="s">
        <v>200</v>
      </c>
      <c r="B119" s="32">
        <f>IF(B51="a",(((1.33*B61*B60)+1)*B117)/(B221*(B61^2)*B56),0)</f>
        <v>6312.914124807368</v>
      </c>
      <c r="C119" s="13" t="s">
        <v>0</v>
      </c>
      <c r="D119" s="16">
        <f>B119*6.894757</f>
        <v>43526.00885241448</v>
      </c>
      <c r="E119" s="7" t="s">
        <v>120</v>
      </c>
      <c r="F119" s="174" t="s">
        <v>201</v>
      </c>
      <c r="G119" s="175"/>
      <c r="H119" s="175"/>
      <c r="I119" s="175"/>
      <c r="J119" s="175"/>
      <c r="K119" s="176"/>
    </row>
    <row r="120" spans="1:11" ht="18" customHeight="1">
      <c r="A120" s="10" t="s">
        <v>202</v>
      </c>
      <c r="B120" s="33">
        <f>IF(B51="a",((B215*B117)/((B61^2)*B56))-(B216*B119),(B215*B117)/((B61^2)*B56))</f>
        <v>9763.826703914187</v>
      </c>
      <c r="C120" s="13" t="s">
        <v>0</v>
      </c>
      <c r="D120" s="16">
        <f>B120*6.894757</f>
        <v>67319.21251359927</v>
      </c>
      <c r="E120" s="7" t="s">
        <v>120</v>
      </c>
      <c r="F120" s="174" t="s">
        <v>203</v>
      </c>
      <c r="G120" s="175"/>
      <c r="H120" s="175"/>
      <c r="I120" s="175"/>
      <c r="J120" s="175"/>
      <c r="K120" s="176"/>
    </row>
    <row r="121" spans="1:11" ht="12.75">
      <c r="A121" s="183" t="s">
        <v>204</v>
      </c>
      <c r="B121" s="184"/>
      <c r="C121" s="211">
        <f>(B118+B119)/2</f>
        <v>14804.662581337625</v>
      </c>
      <c r="D121" s="211"/>
      <c r="E121" s="17" t="s">
        <v>0</v>
      </c>
      <c r="F121" s="16">
        <f>C121*6.894757</f>
        <v>102074.55096531566</v>
      </c>
      <c r="G121" s="7" t="s">
        <v>120</v>
      </c>
      <c r="H121" s="177" t="s">
        <v>185</v>
      </c>
      <c r="I121" s="178"/>
      <c r="J121" s="178"/>
      <c r="K121" s="179"/>
    </row>
    <row r="122" spans="1:11" ht="12.75">
      <c r="A122" s="183" t="s">
        <v>205</v>
      </c>
      <c r="B122" s="184"/>
      <c r="C122" s="211">
        <f>(B118+B120)/2</f>
        <v>16530.118870891034</v>
      </c>
      <c r="D122" s="211"/>
      <c r="E122" s="17" t="s">
        <v>0</v>
      </c>
      <c r="F122" s="16">
        <f>C122*6.894757</f>
        <v>113971.15279590806</v>
      </c>
      <c r="G122" s="7" t="s">
        <v>120</v>
      </c>
      <c r="H122" s="177" t="s">
        <v>185</v>
      </c>
      <c r="I122" s="178"/>
      <c r="J122" s="178"/>
      <c r="K122" s="179"/>
    </row>
    <row r="123" spans="1:11" ht="12.75">
      <c r="A123" s="206" t="s">
        <v>206</v>
      </c>
      <c r="B123" s="207"/>
      <c r="C123" s="207"/>
      <c r="D123" s="207"/>
      <c r="E123" s="207"/>
      <c r="F123" s="207"/>
      <c r="G123" s="207"/>
      <c r="H123" s="207"/>
      <c r="I123" s="207"/>
      <c r="J123" s="207"/>
      <c r="K123" s="208"/>
    </row>
    <row r="124" spans="1:11" ht="12.75">
      <c r="A124" s="195" t="s">
        <v>207</v>
      </c>
      <c r="B124" s="196"/>
      <c r="C124" s="201" t="str">
        <f>IF(B118&lt;=1.5*B65,"A tensão longitudinal está Ok","A tensão longitudinal não passou")</f>
        <v>A tensão longitudinal está Ok</v>
      </c>
      <c r="D124" s="202"/>
      <c r="E124" s="202"/>
      <c r="F124" s="202"/>
      <c r="G124" s="202"/>
      <c r="H124" s="202"/>
      <c r="I124" s="202"/>
      <c r="J124" s="202"/>
      <c r="K124" s="203"/>
    </row>
    <row r="125" spans="1:11" ht="12.75">
      <c r="A125" s="197"/>
      <c r="B125" s="198"/>
      <c r="C125" s="201" t="str">
        <f>IF(B119&lt;=B65,"A tensão radial está Ok","A tensão radial não passou")</f>
        <v>A tensão radial está Ok</v>
      </c>
      <c r="D125" s="202"/>
      <c r="E125" s="202"/>
      <c r="F125" s="202"/>
      <c r="G125" s="202"/>
      <c r="H125" s="202"/>
      <c r="I125" s="202"/>
      <c r="J125" s="202"/>
      <c r="K125" s="203"/>
    </row>
    <row r="126" spans="1:11" ht="12.75">
      <c r="A126" s="197"/>
      <c r="B126" s="198"/>
      <c r="C126" s="201" t="str">
        <f>IF(B120&lt;=B65,"A tensão tangencial está Ok","A tensão tangencial não passou")</f>
        <v>A tensão tangencial está Ok</v>
      </c>
      <c r="D126" s="202"/>
      <c r="E126" s="202"/>
      <c r="F126" s="202"/>
      <c r="G126" s="202"/>
      <c r="H126" s="202"/>
      <c r="I126" s="202"/>
      <c r="J126" s="202"/>
      <c r="K126" s="203"/>
    </row>
    <row r="127" spans="1:11" ht="12.75">
      <c r="A127" s="197"/>
      <c r="B127" s="198"/>
      <c r="C127" s="201" t="str">
        <f>IF(C121&lt;=B65,"Ok, ((SHI+SRI)/2) é menor do que Sff","Não passou: ((SHI+SRI)/2) é maior do que Sff")</f>
        <v>Ok, ((SHI+SRI)/2) é menor do que Sff</v>
      </c>
      <c r="D127" s="202"/>
      <c r="E127" s="202"/>
      <c r="F127" s="202"/>
      <c r="G127" s="202"/>
      <c r="H127" s="202"/>
      <c r="I127" s="202"/>
      <c r="J127" s="202"/>
      <c r="K127" s="203"/>
    </row>
    <row r="128" spans="1:11" ht="12.75">
      <c r="A128" s="199"/>
      <c r="B128" s="200"/>
      <c r="C128" s="201" t="str">
        <f>IF(C122&lt;=B65,"Ok, ((SHI+STI)/2) é menor do que Sff","Não passou: ((SHI+STI)/2) é maior do que Sff")</f>
        <v>Ok, ((SHI+STI)/2) é menor do que Sff</v>
      </c>
      <c r="D128" s="202"/>
      <c r="E128" s="202"/>
      <c r="F128" s="202"/>
      <c r="G128" s="202"/>
      <c r="H128" s="202"/>
      <c r="I128" s="202"/>
      <c r="J128" s="202"/>
      <c r="K128" s="203"/>
    </row>
    <row r="129" spans="1:11" ht="12.75">
      <c r="A129" s="180" t="s">
        <v>208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7"/>
    </row>
    <row r="130" spans="1:11" ht="12.75">
      <c r="A130" s="162" t="s">
        <v>365</v>
      </c>
      <c r="B130" s="163"/>
      <c r="C130" s="163"/>
      <c r="D130" s="163"/>
      <c r="E130" s="163"/>
      <c r="F130" s="163"/>
      <c r="G130" s="163"/>
      <c r="H130" s="163"/>
      <c r="I130" s="163"/>
      <c r="J130" s="163"/>
      <c r="K130" s="164"/>
    </row>
    <row r="131" spans="1:11" ht="12.75">
      <c r="A131" s="165" t="s">
        <v>209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7"/>
    </row>
    <row r="132" spans="1:11" ht="12.75">
      <c r="A132" s="165" t="s">
        <v>210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7"/>
    </row>
    <row r="133" spans="1:11" ht="12.75">
      <c r="A133" s="168" t="s">
        <v>211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70"/>
    </row>
    <row r="134" spans="1:11" ht="12.75">
      <c r="A134" s="21" t="s">
        <v>212</v>
      </c>
      <c r="B134" s="31" t="s">
        <v>92</v>
      </c>
      <c r="C134" s="212" t="s">
        <v>213</v>
      </c>
      <c r="D134" s="213"/>
      <c r="E134" s="213"/>
      <c r="F134" s="213"/>
      <c r="G134" s="213"/>
      <c r="H134" s="213"/>
      <c r="I134" s="213"/>
      <c r="J134" s="213"/>
      <c r="K134" s="214"/>
    </row>
    <row r="135" spans="1:11" ht="12.75">
      <c r="A135" s="154" t="s">
        <v>214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6"/>
    </row>
    <row r="136" spans="1:11" ht="12.75">
      <c r="A136" s="10" t="s">
        <v>151</v>
      </c>
      <c r="B136" s="35">
        <f>+B79</f>
        <v>1207478.092191849</v>
      </c>
      <c r="C136" s="10" t="s">
        <v>215</v>
      </c>
      <c r="D136" s="16">
        <f>B136*0.1152124</f>
        <v>139116.4489488442</v>
      </c>
      <c r="E136" s="7" t="s">
        <v>57</v>
      </c>
      <c r="F136" s="171" t="s">
        <v>216</v>
      </c>
      <c r="G136" s="172"/>
      <c r="H136" s="172"/>
      <c r="I136" s="172"/>
      <c r="J136" s="172"/>
      <c r="K136" s="173"/>
    </row>
    <row r="137" spans="1:11" ht="18.75" customHeight="1">
      <c r="A137" s="10" t="s">
        <v>217</v>
      </c>
      <c r="B137" s="36">
        <f>(52.14*B136*B207)/(B221*B63*(B54^2)*B59*0.3)</f>
        <v>0.11188986256589326</v>
      </c>
      <c r="C137" s="13" t="s">
        <v>218</v>
      </c>
      <c r="D137" s="22">
        <f>B137</f>
        <v>0.11188986256589326</v>
      </c>
      <c r="E137" s="13" t="s">
        <v>218</v>
      </c>
      <c r="F137" s="174" t="s">
        <v>219</v>
      </c>
      <c r="G137" s="175"/>
      <c r="H137" s="175"/>
      <c r="I137" s="175"/>
      <c r="J137" s="175"/>
      <c r="K137" s="176"/>
    </row>
    <row r="138" spans="1:11" ht="21.75" customHeight="1">
      <c r="A138" s="1" t="s">
        <v>220</v>
      </c>
      <c r="B138" s="36">
        <f>(52.14*B136*B210)/(B222*B63*(B54^2)*B59*0.2)</f>
        <v>0.23803669431673657</v>
      </c>
      <c r="C138" s="2" t="s">
        <v>218</v>
      </c>
      <c r="D138" s="22">
        <f>B138</f>
        <v>0.23803669431673657</v>
      </c>
      <c r="E138" s="2" t="s">
        <v>218</v>
      </c>
      <c r="F138" s="148" t="s">
        <v>221</v>
      </c>
      <c r="G138" s="149"/>
      <c r="H138" s="149"/>
      <c r="I138" s="149"/>
      <c r="J138" s="149"/>
      <c r="K138" s="150"/>
    </row>
    <row r="139" spans="1:11" ht="18" customHeight="1">
      <c r="A139" s="10" t="s">
        <v>222</v>
      </c>
      <c r="B139" s="36">
        <f>(109.4*B136)/(B63*(B61^3)*(LN(B213))*0.2)</f>
        <v>0.6215507690073017</v>
      </c>
      <c r="C139" s="13" t="s">
        <v>218</v>
      </c>
      <c r="D139" s="22">
        <f>B139</f>
        <v>0.6215507690073017</v>
      </c>
      <c r="E139" s="13" t="s">
        <v>218</v>
      </c>
      <c r="F139" s="174" t="s">
        <v>223</v>
      </c>
      <c r="G139" s="175"/>
      <c r="H139" s="175"/>
      <c r="I139" s="175"/>
      <c r="J139" s="175"/>
      <c r="K139" s="176"/>
    </row>
    <row r="140" spans="1:11" ht="12.75">
      <c r="A140" s="1" t="s">
        <v>224</v>
      </c>
      <c r="B140" s="23">
        <f>IF(B134="a",B137,IF(B134="b",B138,IF(B134="c",B139)))</f>
        <v>0.11188986256589326</v>
      </c>
      <c r="C140" s="2" t="s">
        <v>14</v>
      </c>
      <c r="D140" s="22">
        <f>B140</f>
        <v>0.11188986256589326</v>
      </c>
      <c r="E140" s="2" t="s">
        <v>14</v>
      </c>
      <c r="F140" s="148" t="s">
        <v>225</v>
      </c>
      <c r="G140" s="149"/>
      <c r="H140" s="149"/>
      <c r="I140" s="149"/>
      <c r="J140" s="149"/>
      <c r="K140" s="150"/>
    </row>
    <row r="141" spans="1:11" ht="12.75">
      <c r="A141" s="217" t="s">
        <v>226</v>
      </c>
      <c r="B141" s="218"/>
      <c r="C141" s="218"/>
      <c r="D141" s="218"/>
      <c r="E141" s="219"/>
      <c r="F141" s="220" t="str">
        <f>+IF(B140&lt;=1,"OK, os flanges tem rigidez suficiente","Reanalisar, os flanges não tem rigidez suficiente")</f>
        <v>OK, os flanges tem rigidez suficiente</v>
      </c>
      <c r="G141" s="221"/>
      <c r="H141" s="221"/>
      <c r="I141" s="221"/>
      <c r="J141" s="221"/>
      <c r="K141" s="222"/>
    </row>
    <row r="142" spans="1:11" ht="12.75">
      <c r="A142" s="154" t="s">
        <v>227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216"/>
    </row>
    <row r="143" spans="1:11" ht="12.75">
      <c r="A143" s="10" t="s">
        <v>176</v>
      </c>
      <c r="B143" s="35">
        <f>+B101</f>
        <v>4887526.626017738</v>
      </c>
      <c r="C143" s="10" t="s">
        <v>215</v>
      </c>
      <c r="D143" s="16">
        <f>B143*0.1152124</f>
        <v>563103.6726474061</v>
      </c>
      <c r="E143" s="7" t="s">
        <v>57</v>
      </c>
      <c r="F143" s="171" t="s">
        <v>228</v>
      </c>
      <c r="G143" s="172"/>
      <c r="H143" s="172"/>
      <c r="I143" s="172"/>
      <c r="J143" s="172"/>
      <c r="K143" s="173"/>
    </row>
    <row r="144" spans="1:11" ht="19.5" customHeight="1">
      <c r="A144" s="10" t="s">
        <v>217</v>
      </c>
      <c r="B144" s="36">
        <f>(52.14*B143*B207)/(B221*B63*(B54^2)*B59*0.3)</f>
        <v>0.452898223171556</v>
      </c>
      <c r="C144" s="13" t="s">
        <v>218</v>
      </c>
      <c r="D144" s="22">
        <f>B144</f>
        <v>0.452898223171556</v>
      </c>
      <c r="E144" s="13" t="s">
        <v>218</v>
      </c>
      <c r="F144" s="174" t="s">
        <v>219</v>
      </c>
      <c r="G144" s="175"/>
      <c r="H144" s="175"/>
      <c r="I144" s="175"/>
      <c r="J144" s="175"/>
      <c r="K144" s="176"/>
    </row>
    <row r="145" spans="1:11" ht="18" customHeight="1">
      <c r="A145" s="1" t="s">
        <v>220</v>
      </c>
      <c r="B145" s="36">
        <f>(52.14*B143*B210)/(B222*B63*(B54^2)*B59*0.2)</f>
        <v>0.9635045877564856</v>
      </c>
      <c r="C145" s="2" t="s">
        <v>218</v>
      </c>
      <c r="D145" s="22">
        <f>B145</f>
        <v>0.9635045877564856</v>
      </c>
      <c r="E145" s="2" t="s">
        <v>218</v>
      </c>
      <c r="F145" s="148" t="s">
        <v>221</v>
      </c>
      <c r="G145" s="149"/>
      <c r="H145" s="149"/>
      <c r="I145" s="149"/>
      <c r="J145" s="149"/>
      <c r="K145" s="150"/>
    </row>
    <row r="146" spans="1:11" ht="24.75" customHeight="1">
      <c r="A146" s="10" t="s">
        <v>222</v>
      </c>
      <c r="B146" s="36">
        <f>(109.4*B143)/(B63*(B61^3)*(LN(B213))*0.2)</f>
        <v>2.515860082753636</v>
      </c>
      <c r="C146" s="13" t="s">
        <v>218</v>
      </c>
      <c r="D146" s="22">
        <f>B146</f>
        <v>2.515860082753636</v>
      </c>
      <c r="E146" s="13" t="s">
        <v>218</v>
      </c>
      <c r="F146" s="174" t="s">
        <v>223</v>
      </c>
      <c r="G146" s="175"/>
      <c r="H146" s="175"/>
      <c r="I146" s="175"/>
      <c r="J146" s="175"/>
      <c r="K146" s="176"/>
    </row>
    <row r="147" spans="1:11" ht="12.75">
      <c r="A147" s="1" t="s">
        <v>224</v>
      </c>
      <c r="B147" s="23">
        <f>IF(B134="a",B144,IF(B134="b",B145,IF(B134="c",B146)))</f>
        <v>0.452898223171556</v>
      </c>
      <c r="C147" s="2" t="s">
        <v>14</v>
      </c>
      <c r="D147" s="22">
        <f>B147</f>
        <v>0.452898223171556</v>
      </c>
      <c r="E147" s="2" t="s">
        <v>14</v>
      </c>
      <c r="F147" s="148" t="s">
        <v>229</v>
      </c>
      <c r="G147" s="149"/>
      <c r="H147" s="149"/>
      <c r="I147" s="149"/>
      <c r="J147" s="149"/>
      <c r="K147" s="150"/>
    </row>
    <row r="148" spans="1:11" ht="12.75">
      <c r="A148" s="217" t="s">
        <v>226</v>
      </c>
      <c r="B148" s="218"/>
      <c r="C148" s="218"/>
      <c r="D148" s="218"/>
      <c r="E148" s="219"/>
      <c r="F148" s="220" t="str">
        <f>+IF(B147&lt;=1,"OK, os flanges tem rigidez suficiente","Reanalisar, os flanges não tem rigidez suficiente")</f>
        <v>OK, os flanges tem rigidez suficiente</v>
      </c>
      <c r="G148" s="221"/>
      <c r="H148" s="221"/>
      <c r="I148" s="221"/>
      <c r="J148" s="221"/>
      <c r="K148" s="222"/>
    </row>
    <row r="149" spans="1:11" ht="12.75">
      <c r="A149" s="154" t="s">
        <v>230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6"/>
    </row>
    <row r="150" spans="1:11" ht="12.75">
      <c r="A150" s="10" t="s">
        <v>196</v>
      </c>
      <c r="B150" s="35">
        <f>+B117</f>
        <v>10791666.59518194</v>
      </c>
      <c r="C150" s="10" t="s">
        <v>215</v>
      </c>
      <c r="D150" s="16">
        <f>B150*0.1152124</f>
        <v>1243333.80843074</v>
      </c>
      <c r="E150" s="7" t="s">
        <v>57</v>
      </c>
      <c r="F150" s="171" t="s">
        <v>231</v>
      </c>
      <c r="G150" s="172"/>
      <c r="H150" s="172"/>
      <c r="I150" s="172"/>
      <c r="J150" s="172"/>
      <c r="K150" s="173"/>
    </row>
    <row r="151" spans="1:11" ht="24.75" customHeight="1">
      <c r="A151" s="10" t="s">
        <v>217</v>
      </c>
      <c r="B151" s="36">
        <f>(52.14*B150*B207)/(B221*B63*(B54^2)*B59*0.3)</f>
        <v>0.9999999999999997</v>
      </c>
      <c r="C151" s="13" t="s">
        <v>218</v>
      </c>
      <c r="D151" s="22">
        <f>B151</f>
        <v>0.9999999999999997</v>
      </c>
      <c r="E151" s="13" t="s">
        <v>218</v>
      </c>
      <c r="F151" s="174" t="s">
        <v>219</v>
      </c>
      <c r="G151" s="175"/>
      <c r="H151" s="175"/>
      <c r="I151" s="175"/>
      <c r="J151" s="175"/>
      <c r="K151" s="176"/>
    </row>
    <row r="152" spans="1:11" ht="18.75" customHeight="1">
      <c r="A152" s="1" t="s">
        <v>220</v>
      </c>
      <c r="B152" s="36">
        <f>(52.14*B150*B210)/(B222*B63*(B54^2)*B59*0.2)</f>
        <v>2.1274196683953734</v>
      </c>
      <c r="C152" s="2" t="s">
        <v>218</v>
      </c>
      <c r="D152" s="22">
        <f>B152</f>
        <v>2.1274196683953734</v>
      </c>
      <c r="E152" s="2" t="s">
        <v>218</v>
      </c>
      <c r="F152" s="148" t="s">
        <v>221</v>
      </c>
      <c r="G152" s="149"/>
      <c r="H152" s="149"/>
      <c r="I152" s="149"/>
      <c r="J152" s="149"/>
      <c r="K152" s="150"/>
    </row>
    <row r="153" spans="1:11" ht="21.75" customHeight="1">
      <c r="A153" s="10" t="s">
        <v>222</v>
      </c>
      <c r="B153" s="36">
        <f>(109.4*B150)/(B63*(B61^3)*(LN(B213))*0.2)</f>
        <v>5.555023080319389</v>
      </c>
      <c r="C153" s="13" t="s">
        <v>218</v>
      </c>
      <c r="D153" s="22">
        <f>B153</f>
        <v>5.555023080319389</v>
      </c>
      <c r="E153" s="13" t="s">
        <v>218</v>
      </c>
      <c r="F153" s="174" t="s">
        <v>223</v>
      </c>
      <c r="G153" s="175"/>
      <c r="H153" s="175"/>
      <c r="I153" s="175"/>
      <c r="J153" s="175"/>
      <c r="K153" s="176"/>
    </row>
    <row r="154" spans="1:11" ht="12.75">
      <c r="A154" s="1" t="s">
        <v>224</v>
      </c>
      <c r="B154" s="23">
        <f>IF(B134="a",B151,IF(B134="b",B152,IF(B134="c",B153)))</f>
        <v>0.9999999999999997</v>
      </c>
      <c r="C154" s="2" t="s">
        <v>14</v>
      </c>
      <c r="D154" s="22">
        <f>B154</f>
        <v>0.9999999999999997</v>
      </c>
      <c r="E154" s="2" t="s">
        <v>14</v>
      </c>
      <c r="F154" s="148" t="s">
        <v>232</v>
      </c>
      <c r="G154" s="149"/>
      <c r="H154" s="149"/>
      <c r="I154" s="149"/>
      <c r="J154" s="149"/>
      <c r="K154" s="150"/>
    </row>
    <row r="155" spans="1:11" ht="12.75">
      <c r="A155" s="217" t="s">
        <v>226</v>
      </c>
      <c r="B155" s="218"/>
      <c r="C155" s="218"/>
      <c r="D155" s="218"/>
      <c r="E155" s="219"/>
      <c r="F155" s="220" t="str">
        <f>+IF(B154&lt;=1,"OK, os flanges tem rigidez suficiente","Reanalisar, os flanges não tem rigidez suficiente")</f>
        <v>OK, os flanges tem rigidez suficiente</v>
      </c>
      <c r="G155" s="221"/>
      <c r="H155" s="221"/>
      <c r="I155" s="221"/>
      <c r="J155" s="221"/>
      <c r="K155" s="222"/>
    </row>
    <row r="156" spans="1:11" ht="12.75">
      <c r="A156" s="217"/>
      <c r="B156" s="218"/>
      <c r="C156" s="218"/>
      <c r="D156" s="218"/>
      <c r="E156" s="218"/>
      <c r="F156" s="218"/>
      <c r="G156" s="218"/>
      <c r="H156" s="218"/>
      <c r="I156" s="218"/>
      <c r="J156" s="218"/>
      <c r="K156" s="219"/>
    </row>
    <row r="157" spans="1:11" ht="12.75">
      <c r="A157" s="217"/>
      <c r="B157" s="218"/>
      <c r="C157" s="218"/>
      <c r="D157" s="218"/>
      <c r="E157" s="218"/>
      <c r="F157" s="218"/>
      <c r="G157" s="218"/>
      <c r="H157" s="218"/>
      <c r="I157" s="218"/>
      <c r="J157" s="218"/>
      <c r="K157" s="219"/>
    </row>
    <row r="158" spans="1:11" ht="12.75">
      <c r="A158" s="223" t="s">
        <v>233</v>
      </c>
      <c r="B158" s="224"/>
      <c r="C158" s="224"/>
      <c r="D158" s="224"/>
      <c r="E158" s="224"/>
      <c r="F158" s="224"/>
      <c r="G158" s="224"/>
      <c r="H158" s="224"/>
      <c r="I158" s="224"/>
      <c r="J158" s="224"/>
      <c r="K158" s="225"/>
    </row>
    <row r="159" spans="1:11" ht="12.75">
      <c r="A159" s="1" t="s">
        <v>108</v>
      </c>
      <c r="B159" s="36">
        <f>(B56*B54)^0.5</f>
        <v>8.580509731379278</v>
      </c>
      <c r="C159" s="2" t="s">
        <v>47</v>
      </c>
      <c r="D159" s="24">
        <f>B159*25.4</f>
        <v>217.94494717703364</v>
      </c>
      <c r="E159" s="7" t="s">
        <v>2</v>
      </c>
      <c r="F159" s="148" t="s">
        <v>234</v>
      </c>
      <c r="G159" s="149"/>
      <c r="H159" s="149"/>
      <c r="I159" s="149"/>
      <c r="J159" s="149"/>
      <c r="K159" s="150"/>
    </row>
    <row r="160" spans="1:11" ht="12.75">
      <c r="A160" s="1" t="s">
        <v>235</v>
      </c>
      <c r="B160" s="36">
        <f>(B53/B54)-1</f>
        <v>1.3880000000000003</v>
      </c>
      <c r="C160" s="2" t="s">
        <v>218</v>
      </c>
      <c r="D160" s="22">
        <f aca="true" t="shared" si="1" ref="D160:D221">B160</f>
        <v>1.3880000000000003</v>
      </c>
      <c r="E160" s="2" t="s">
        <v>218</v>
      </c>
      <c r="F160" s="148" t="s">
        <v>236</v>
      </c>
      <c r="G160" s="149"/>
      <c r="H160" s="149"/>
      <c r="I160" s="149"/>
      <c r="J160" s="149"/>
      <c r="K160" s="150"/>
    </row>
    <row r="161" spans="1:11" ht="12.75">
      <c r="A161" s="1" t="s">
        <v>237</v>
      </c>
      <c r="B161" s="36">
        <f>B53/B54</f>
        <v>2.3880000000000003</v>
      </c>
      <c r="C161" s="2" t="s">
        <v>218</v>
      </c>
      <c r="D161" s="22">
        <f t="shared" si="1"/>
        <v>2.3880000000000003</v>
      </c>
      <c r="E161" s="2" t="s">
        <v>218</v>
      </c>
      <c r="F161" s="148" t="s">
        <v>237</v>
      </c>
      <c r="G161" s="149"/>
      <c r="H161" s="149"/>
      <c r="I161" s="149"/>
      <c r="J161" s="149"/>
      <c r="K161" s="150"/>
    </row>
    <row r="162" spans="1:11" ht="12.75">
      <c r="A162" s="1" t="s">
        <v>238</v>
      </c>
      <c r="B162" s="36">
        <f>B58/B159</f>
        <v>0.7616602364502651</v>
      </c>
      <c r="C162" s="2" t="s">
        <v>218</v>
      </c>
      <c r="D162" s="22">
        <f t="shared" si="1"/>
        <v>0.7616602364502651</v>
      </c>
      <c r="E162" s="2" t="s">
        <v>218</v>
      </c>
      <c r="F162" s="148" t="s">
        <v>238</v>
      </c>
      <c r="G162" s="149"/>
      <c r="H162" s="149"/>
      <c r="I162" s="149"/>
      <c r="J162" s="149"/>
      <c r="K162" s="150"/>
    </row>
    <row r="163" spans="1:11" ht="12.75">
      <c r="A163" s="1" t="s">
        <v>239</v>
      </c>
      <c r="B163" s="36">
        <f>43.68*((B162)^4)</f>
        <v>14.700352966417736</v>
      </c>
      <c r="C163" s="2" t="s">
        <v>218</v>
      </c>
      <c r="D163" s="22">
        <f t="shared" si="1"/>
        <v>14.700352966417736</v>
      </c>
      <c r="E163" s="2" t="s">
        <v>218</v>
      </c>
      <c r="F163" s="148" t="s">
        <v>240</v>
      </c>
      <c r="G163" s="149"/>
      <c r="H163" s="149"/>
      <c r="I163" s="149"/>
      <c r="J163" s="149"/>
      <c r="K163" s="150"/>
    </row>
    <row r="164" spans="1:11" ht="12.75">
      <c r="A164" s="1" t="s">
        <v>241</v>
      </c>
      <c r="B164" s="36">
        <f>0.333333333333333+(B160/12)</f>
        <v>0.449</v>
      </c>
      <c r="C164" s="2" t="s">
        <v>218</v>
      </c>
      <c r="D164" s="22">
        <f t="shared" si="1"/>
        <v>0.449</v>
      </c>
      <c r="E164" s="2" t="s">
        <v>218</v>
      </c>
      <c r="F164" s="148" t="s">
        <v>242</v>
      </c>
      <c r="G164" s="149"/>
      <c r="H164" s="149"/>
      <c r="I164" s="149"/>
      <c r="J164" s="149"/>
      <c r="K164" s="150"/>
    </row>
    <row r="165" spans="1:11" ht="12.75">
      <c r="A165" s="1" t="s">
        <v>243</v>
      </c>
      <c r="B165" s="36">
        <f>(0.119047619047619)+(17*B160/336)</f>
        <v>0.1892738095238095</v>
      </c>
      <c r="C165" s="2" t="s">
        <v>218</v>
      </c>
      <c r="D165" s="22">
        <f t="shared" si="1"/>
        <v>0.1892738095238095</v>
      </c>
      <c r="E165" s="2" t="s">
        <v>218</v>
      </c>
      <c r="F165" s="148" t="s">
        <v>244</v>
      </c>
      <c r="G165" s="149"/>
      <c r="H165" s="149"/>
      <c r="I165" s="149"/>
      <c r="J165" s="149"/>
      <c r="K165" s="150"/>
    </row>
    <row r="166" spans="1:11" ht="12.75">
      <c r="A166" s="1" t="s">
        <v>245</v>
      </c>
      <c r="B166" s="36">
        <f>(0.00476190476190476)+(B160/360)</f>
        <v>0.008617460317460315</v>
      </c>
      <c r="C166" s="2" t="s">
        <v>218</v>
      </c>
      <c r="D166" s="22">
        <f t="shared" si="1"/>
        <v>0.008617460317460315</v>
      </c>
      <c r="E166" s="2" t="s">
        <v>218</v>
      </c>
      <c r="F166" s="148" t="s">
        <v>246</v>
      </c>
      <c r="G166" s="149"/>
      <c r="H166" s="149"/>
      <c r="I166" s="149"/>
      <c r="J166" s="149"/>
      <c r="K166" s="150"/>
    </row>
    <row r="167" spans="1:11" ht="12.75">
      <c r="A167" s="1" t="s">
        <v>247</v>
      </c>
      <c r="B167" s="36">
        <f>(0.0305555555555556)+(59*B160/5040)+((1+(3*B160))/B163)</f>
        <v>0.398088050465934</v>
      </c>
      <c r="C167" s="2" t="s">
        <v>218</v>
      </c>
      <c r="D167" s="22">
        <f t="shared" si="1"/>
        <v>0.398088050465934</v>
      </c>
      <c r="E167" s="2" t="s">
        <v>218</v>
      </c>
      <c r="F167" s="148" t="s">
        <v>248</v>
      </c>
      <c r="G167" s="149"/>
      <c r="H167" s="149"/>
      <c r="I167" s="149"/>
      <c r="J167" s="149"/>
      <c r="K167" s="150"/>
    </row>
    <row r="168" spans="1:11" ht="12.75">
      <c r="A168" s="1" t="s">
        <v>249</v>
      </c>
      <c r="B168" s="36">
        <f>(0.0111111111111111)+(5*B160/1008)-(((1+B160)^3)/B163)</f>
        <v>-0.9083541792393062</v>
      </c>
      <c r="C168" s="2" t="s">
        <v>218</v>
      </c>
      <c r="D168" s="22">
        <f t="shared" si="1"/>
        <v>-0.9083541792393062</v>
      </c>
      <c r="E168" s="2" t="s">
        <v>218</v>
      </c>
      <c r="F168" s="148" t="s">
        <v>250</v>
      </c>
      <c r="G168" s="149"/>
      <c r="H168" s="149"/>
      <c r="I168" s="149"/>
      <c r="J168" s="149"/>
      <c r="K168" s="150"/>
    </row>
    <row r="169" spans="1:11" ht="12.75">
      <c r="A169" s="1" t="s">
        <v>251</v>
      </c>
      <c r="B169" s="36">
        <f>(0.00833333333333333)+(17*B160/5040)+(1/B163)</f>
        <v>0.08104065686546</v>
      </c>
      <c r="C169" s="2" t="s">
        <v>218</v>
      </c>
      <c r="D169" s="22">
        <f t="shared" si="1"/>
        <v>0.08104065686546</v>
      </c>
      <c r="E169" s="2" t="s">
        <v>218</v>
      </c>
      <c r="F169" s="148" t="s">
        <v>252</v>
      </c>
      <c r="G169" s="149"/>
      <c r="H169" s="149"/>
      <c r="I169" s="149"/>
      <c r="J169" s="149"/>
      <c r="K169" s="150"/>
    </row>
    <row r="170" spans="1:11" ht="12.75">
      <c r="A170" s="1" t="s">
        <v>253</v>
      </c>
      <c r="B170" s="36">
        <f>(0.0775613275613276)+(51*B160/1232)+((8.57142857142857)+(225*B160/14)+(75*(B160^2)/7)+(5*(B160^3)/2))/B163</f>
        <v>4.094462957524676</v>
      </c>
      <c r="C170" s="2" t="s">
        <v>218</v>
      </c>
      <c r="D170" s="22">
        <f t="shared" si="1"/>
        <v>4.094462957524676</v>
      </c>
      <c r="E170" s="2" t="s">
        <v>218</v>
      </c>
      <c r="F170" s="148" t="s">
        <v>254</v>
      </c>
      <c r="G170" s="149"/>
      <c r="H170" s="149"/>
      <c r="I170" s="149"/>
      <c r="J170" s="149"/>
      <c r="K170" s="150"/>
    </row>
    <row r="171" spans="1:11" ht="12.75">
      <c r="A171" s="1" t="s">
        <v>255</v>
      </c>
      <c r="B171" s="36">
        <f>(0.00447330447330447)+(128*B160/45045)+((0.857142857142857+15*B160/7)+((12*(B160^2))/7)+((5*(B160^3))/11))/B163</f>
        <v>0.5764003793744289</v>
      </c>
      <c r="C171" s="2" t="s">
        <v>218</v>
      </c>
      <c r="D171" s="22">
        <f t="shared" si="1"/>
        <v>0.5764003793744289</v>
      </c>
      <c r="E171" s="2" t="s">
        <v>218</v>
      </c>
      <c r="F171" s="148" t="s">
        <v>256</v>
      </c>
      <c r="G171" s="149"/>
      <c r="H171" s="149"/>
      <c r="I171" s="149"/>
      <c r="J171" s="149"/>
      <c r="K171" s="150"/>
    </row>
    <row r="172" spans="1:11" ht="12.75">
      <c r="A172" s="1" t="s">
        <v>257</v>
      </c>
      <c r="B172" s="36">
        <f>(533/30240)+(653*B160/73920)+((0.5)+(33*B160/14)+(39*(B160^2)/28)+(25*(B160^3)/84))/B163</f>
        <v>0.5231378892301795</v>
      </c>
      <c r="C172" s="2" t="s">
        <v>218</v>
      </c>
      <c r="D172" s="22">
        <f t="shared" si="1"/>
        <v>0.5231378892301795</v>
      </c>
      <c r="E172" s="2" t="s">
        <v>218</v>
      </c>
      <c r="F172" s="148" t="s">
        <v>258</v>
      </c>
      <c r="G172" s="149"/>
      <c r="H172" s="149"/>
      <c r="I172" s="149"/>
      <c r="J172" s="149"/>
      <c r="K172" s="150"/>
    </row>
    <row r="173" spans="1:11" ht="12.75">
      <c r="A173" s="1" t="s">
        <v>259</v>
      </c>
      <c r="B173" s="36">
        <f>(0.00767195767195767)+(3*B160/704)-((0.5+33*B160/14)+(81*(B160^2)/28)+(13*(B160^3)/12))/B163</f>
        <v>-0.8191695224455393</v>
      </c>
      <c r="C173" s="2" t="s">
        <v>218</v>
      </c>
      <c r="D173" s="22">
        <f t="shared" si="1"/>
        <v>-0.8191695224455393</v>
      </c>
      <c r="E173" s="2" t="s">
        <v>218</v>
      </c>
      <c r="F173" s="148" t="s">
        <v>260</v>
      </c>
      <c r="G173" s="149"/>
      <c r="H173" s="149"/>
      <c r="I173" s="149"/>
      <c r="J173" s="149"/>
      <c r="K173" s="150"/>
    </row>
    <row r="174" spans="1:11" ht="12.75">
      <c r="A174" s="1" t="s">
        <v>261</v>
      </c>
      <c r="B174" s="36">
        <f>(0.00512566137566138)+(1763*B160/665280)+((0.5)+(6*B160/7)+(15*(B160^2)/28)+(5*(B160^3)/42))/B163</f>
        <v>0.2156104694774037</v>
      </c>
      <c r="C174" s="2" t="s">
        <v>218</v>
      </c>
      <c r="D174" s="22">
        <f t="shared" si="1"/>
        <v>0.2156104694774037</v>
      </c>
      <c r="E174" s="2" t="s">
        <v>218</v>
      </c>
      <c r="F174" s="148" t="s">
        <v>262</v>
      </c>
      <c r="G174" s="149"/>
      <c r="H174" s="149"/>
      <c r="I174" s="149"/>
      <c r="J174" s="149"/>
      <c r="K174" s="150"/>
    </row>
    <row r="175" spans="1:11" ht="12.75">
      <c r="A175" s="1" t="s">
        <v>263</v>
      </c>
      <c r="B175" s="36">
        <f>(0.000341880341880342)+(71*B160/300300)+((0.228571428571429)+(18*B160/35)+(156*(B160^2)/385)+(6*(B160^3)/55))/B163</f>
        <v>0.1377238574188158</v>
      </c>
      <c r="C175" s="2" t="s">
        <v>218</v>
      </c>
      <c r="D175" s="22">
        <f t="shared" si="1"/>
        <v>0.1377238574188158</v>
      </c>
      <c r="E175" s="2" t="s">
        <v>218</v>
      </c>
      <c r="F175" s="148" t="s">
        <v>264</v>
      </c>
      <c r="G175" s="149"/>
      <c r="H175" s="149"/>
      <c r="I175" s="149"/>
      <c r="J175" s="149"/>
      <c r="K175" s="150"/>
    </row>
    <row r="176" spans="1:11" ht="12.75">
      <c r="A176" s="1" t="s">
        <v>265</v>
      </c>
      <c r="B176" s="36">
        <f>(761/831600)+(937*B160/1663200)+((0.0285714285714286)+(6*B160/35)+(11*(B160^2)/70)+(3*(B160^3)/70))/B163</f>
        <v>0.048216950585306416</v>
      </c>
      <c r="C176" s="2" t="s">
        <v>218</v>
      </c>
      <c r="D176" s="22">
        <f t="shared" si="1"/>
        <v>0.048216950585306416</v>
      </c>
      <c r="E176" s="2" t="s">
        <v>218</v>
      </c>
      <c r="F176" s="148" t="s">
        <v>266</v>
      </c>
      <c r="G176" s="149"/>
      <c r="H176" s="149"/>
      <c r="I176" s="149"/>
      <c r="J176" s="149"/>
      <c r="K176" s="150"/>
    </row>
    <row r="177" spans="1:11" ht="12.75">
      <c r="A177" s="1" t="s">
        <v>267</v>
      </c>
      <c r="B177" s="36">
        <f>(197/415800)+(103*B160/332640)-((1/35)+(6*B160/35)+(17*(B160^2)/70)+((B160^3)/10))/B163</f>
        <v>-0.06724401432201618</v>
      </c>
      <c r="C177" s="2" t="s">
        <v>218</v>
      </c>
      <c r="D177" s="22">
        <f t="shared" si="1"/>
        <v>-0.06724401432201618</v>
      </c>
      <c r="E177" s="2" t="s">
        <v>218</v>
      </c>
      <c r="F177" s="148" t="s">
        <v>268</v>
      </c>
      <c r="G177" s="149"/>
      <c r="H177" s="149"/>
      <c r="I177" s="149"/>
      <c r="J177" s="149"/>
      <c r="K177" s="150"/>
    </row>
    <row r="178" spans="1:11" ht="12.75">
      <c r="A178" s="1" t="s">
        <v>269</v>
      </c>
      <c r="B178" s="36">
        <f>(233/831600)+(97*B160/554400)+((0.0285714285714286)+(3*B160/35)+((B160^2)/14)+(2*(B160^3)/105))/B163</f>
        <v>0.023385565150437295</v>
      </c>
      <c r="C178" s="2" t="s">
        <v>218</v>
      </c>
      <c r="D178" s="22">
        <f t="shared" si="1"/>
        <v>0.023385565150437295</v>
      </c>
      <c r="E178" s="2" t="s">
        <v>218</v>
      </c>
      <c r="F178" s="148" t="s">
        <v>270</v>
      </c>
      <c r="G178" s="149"/>
      <c r="H178" s="149"/>
      <c r="I178" s="149"/>
      <c r="J178" s="149"/>
      <c r="K178" s="150"/>
    </row>
    <row r="179" spans="1:11" ht="12.75">
      <c r="A179" s="1" t="s">
        <v>271</v>
      </c>
      <c r="B179" s="36">
        <f>(B164*B170*B175)+(B165*B171*B166)+(B166*B171*B165)-(((B166^2)*B170)+((B171^2)*B164)+((B165^2)*B175))</f>
        <v>0.10066118867197457</v>
      </c>
      <c r="C179" s="2" t="s">
        <v>218</v>
      </c>
      <c r="D179" s="22">
        <f t="shared" si="1"/>
        <v>0.10066118867197457</v>
      </c>
      <c r="E179" s="2" t="s">
        <v>218</v>
      </c>
      <c r="F179" s="148" t="s">
        <v>272</v>
      </c>
      <c r="G179" s="149"/>
      <c r="H179" s="149"/>
      <c r="I179" s="149"/>
      <c r="J179" s="149"/>
      <c r="K179" s="150"/>
    </row>
    <row r="180" spans="1:11" ht="12.75">
      <c r="A180" s="1" t="s">
        <v>273</v>
      </c>
      <c r="B180" s="36">
        <f>((B167*B170*B175)+(B165*B171*B176)+(B166*B171*B172)-((B176*B170*B166)+((B171^2)*B167)+(B175*B165*B172)))/B179</f>
        <v>0.8418819702850444</v>
      </c>
      <c r="C180" s="2" t="s">
        <v>218</v>
      </c>
      <c r="D180" s="22">
        <f t="shared" si="1"/>
        <v>0.8418819702850444</v>
      </c>
      <c r="E180" s="2" t="s">
        <v>218</v>
      </c>
      <c r="F180" s="148" t="s">
        <v>274</v>
      </c>
      <c r="G180" s="149"/>
      <c r="H180" s="149"/>
      <c r="I180" s="149"/>
      <c r="J180" s="149"/>
      <c r="K180" s="150"/>
    </row>
    <row r="181" spans="1:11" ht="12.75">
      <c r="A181" s="1" t="s">
        <v>275</v>
      </c>
      <c r="B181" s="36">
        <f>((B168*B170*B175)+(B165*B171*B177)+(B166*B171*B173)-((B177*B170*B166)+((B171^2)*B168)+(B175*B165*B173)))/B179</f>
        <v>-1.968138456056434</v>
      </c>
      <c r="C181" s="2" t="s">
        <v>218</v>
      </c>
      <c r="D181" s="22">
        <f t="shared" si="1"/>
        <v>-1.968138456056434</v>
      </c>
      <c r="E181" s="2" t="s">
        <v>218</v>
      </c>
      <c r="F181" s="148" t="s">
        <v>276</v>
      </c>
      <c r="G181" s="149"/>
      <c r="H181" s="149"/>
      <c r="I181" s="149"/>
      <c r="J181" s="149"/>
      <c r="K181" s="150"/>
    </row>
    <row r="182" spans="1:11" ht="12.75">
      <c r="A182" s="1" t="s">
        <v>277</v>
      </c>
      <c r="B182" s="36">
        <f>((B169*B170*B175)+(B165*B171*B178)+(B166*B171*B174)-((B178*B170*B166)+((B171^2)*B169)+(B175*B165*B174)))/B179</f>
        <v>0.158464422770543</v>
      </c>
      <c r="C182" s="2" t="s">
        <v>218</v>
      </c>
      <c r="D182" s="22">
        <f t="shared" si="1"/>
        <v>0.158464422770543</v>
      </c>
      <c r="E182" s="2" t="s">
        <v>218</v>
      </c>
      <c r="F182" s="148" t="s">
        <v>278</v>
      </c>
      <c r="G182" s="149"/>
      <c r="H182" s="149"/>
      <c r="I182" s="149"/>
      <c r="J182" s="149"/>
      <c r="K182" s="150"/>
    </row>
    <row r="183" spans="1:11" ht="12.75">
      <c r="A183" s="1" t="s">
        <v>279</v>
      </c>
      <c r="B183" s="36">
        <f>((B164*B172*B175)+(B167*B171*B166)+(B166*B176*B165)-(((B166^2)*B172)+(B176*B171*B164)+(B175*B167*B165)))/B179</f>
        <v>0.11435442993254374</v>
      </c>
      <c r="C183" s="2" t="s">
        <v>218</v>
      </c>
      <c r="D183" s="22">
        <f t="shared" si="1"/>
        <v>0.11435442993254374</v>
      </c>
      <c r="E183" s="2" t="s">
        <v>218</v>
      </c>
      <c r="F183" s="148" t="s">
        <v>280</v>
      </c>
      <c r="G183" s="149"/>
      <c r="H183" s="149"/>
      <c r="I183" s="149"/>
      <c r="J183" s="149"/>
      <c r="K183" s="150"/>
    </row>
    <row r="184" spans="1:11" ht="12.75">
      <c r="A184" s="1" t="s">
        <v>281</v>
      </c>
      <c r="B184" s="36">
        <f>((B164*B173*B175)+(B168*B171*B166)+(B166*B177*B165)-(((B166^2)*B173)+(B177*B171*B164)+(B175*B168*B165)))/B179</f>
        <v>-0.14042164848036517</v>
      </c>
      <c r="C184" s="2" t="s">
        <v>218</v>
      </c>
      <c r="D184" s="22">
        <f t="shared" si="1"/>
        <v>-0.14042164848036517</v>
      </c>
      <c r="E184" s="2" t="s">
        <v>218</v>
      </c>
      <c r="F184" s="148" t="s">
        <v>282</v>
      </c>
      <c r="G184" s="149"/>
      <c r="H184" s="149"/>
      <c r="I184" s="149"/>
      <c r="J184" s="149"/>
      <c r="K184" s="150"/>
    </row>
    <row r="185" spans="1:11" ht="12.75">
      <c r="A185" s="1" t="s">
        <v>283</v>
      </c>
      <c r="B185" s="36">
        <f>((B164*B174*B175)+(B169*B171*B166)+(B166*B178*B165)-(((B166^2)*B174)+(B178*B171*B164)+(B175*B169*B165)))/B179</f>
        <v>0.05556055008430482</v>
      </c>
      <c r="C185" s="2" t="s">
        <v>218</v>
      </c>
      <c r="D185" s="22">
        <f t="shared" si="1"/>
        <v>0.05556055008430482</v>
      </c>
      <c r="E185" s="2" t="s">
        <v>218</v>
      </c>
      <c r="F185" s="148" t="s">
        <v>284</v>
      </c>
      <c r="G185" s="149"/>
      <c r="H185" s="149"/>
      <c r="I185" s="149"/>
      <c r="J185" s="149"/>
      <c r="K185" s="150"/>
    </row>
    <row r="186" spans="1:11" ht="12.75">
      <c r="A186" s="1" t="s">
        <v>285</v>
      </c>
      <c r="B186" s="36">
        <f>((B164*B170*B176)+(B165*B172*B166)+(B167*B171*B165)-((B166*B170*B167)+(B171*B172*B164)+((B165^2)*B176)))/B179</f>
        <v>-0.18117319068399906</v>
      </c>
      <c r="C186" s="2" t="s">
        <v>218</v>
      </c>
      <c r="D186" s="22">
        <f t="shared" si="1"/>
        <v>-0.18117319068399906</v>
      </c>
      <c r="E186" s="2" t="s">
        <v>218</v>
      </c>
      <c r="F186" s="148" t="s">
        <v>286</v>
      </c>
      <c r="G186" s="149"/>
      <c r="H186" s="149"/>
      <c r="I186" s="149"/>
      <c r="J186" s="149"/>
      <c r="K186" s="150"/>
    </row>
    <row r="187" spans="1:11" ht="12.75">
      <c r="A187" s="1" t="s">
        <v>287</v>
      </c>
      <c r="B187" s="36">
        <f>((B164*B170*B177)+(B165*B173*B166)+(B168*B171*B165)-((B166*B170*B168)+(B171*B173*B164)+((B165^2)*B177)))/B179</f>
        <v>0.22258621529572958</v>
      </c>
      <c r="C187" s="2" t="s">
        <v>218</v>
      </c>
      <c r="D187" s="22">
        <f t="shared" si="1"/>
        <v>0.22258621529572958</v>
      </c>
      <c r="E187" s="2" t="s">
        <v>218</v>
      </c>
      <c r="F187" s="148" t="s">
        <v>288</v>
      </c>
      <c r="G187" s="149"/>
      <c r="H187" s="149"/>
      <c r="I187" s="149"/>
      <c r="J187" s="149"/>
      <c r="K187" s="150"/>
    </row>
    <row r="188" spans="1:11" ht="12.75">
      <c r="A188" s="1" t="s">
        <v>289</v>
      </c>
      <c r="B188" s="36">
        <f>((B164*B170*B178)+(B165*B174*B166)+(B169*B171*B165)-((B166*B170*B169)+(B171*B174*B164)+((B165^2)*B178)))/B179</f>
        <v>-0.0726462216414472</v>
      </c>
      <c r="C188" s="2" t="s">
        <v>218</v>
      </c>
      <c r="D188" s="22">
        <f t="shared" si="1"/>
        <v>-0.0726462216414472</v>
      </c>
      <c r="E188" s="2" t="s">
        <v>218</v>
      </c>
      <c r="F188" s="148" t="s">
        <v>290</v>
      </c>
      <c r="G188" s="149"/>
      <c r="H188" s="149"/>
      <c r="I188" s="149"/>
      <c r="J188" s="149"/>
      <c r="K188" s="150"/>
    </row>
    <row r="189" spans="1:11" ht="12.75">
      <c r="A189" s="1" t="s">
        <v>291</v>
      </c>
      <c r="B189" s="36">
        <f>-(1)*((B163/4)^0.25)</f>
        <v>-1.3845764573791588</v>
      </c>
      <c r="C189" s="2" t="s">
        <v>218</v>
      </c>
      <c r="D189" s="22">
        <f t="shared" si="1"/>
        <v>-1.3845764573791588</v>
      </c>
      <c r="E189" s="2" t="s">
        <v>218</v>
      </c>
      <c r="F189" s="148" t="s">
        <v>292</v>
      </c>
      <c r="G189" s="149"/>
      <c r="H189" s="149"/>
      <c r="I189" s="149"/>
      <c r="J189" s="149"/>
      <c r="K189" s="150"/>
    </row>
    <row r="190" spans="1:11" ht="12.75">
      <c r="A190" s="1" t="s">
        <v>293</v>
      </c>
      <c r="B190" s="36">
        <f>B183-B180-(0.416666666666667)+(B180*B189)</f>
        <v>-2.3098441629678206</v>
      </c>
      <c r="C190" s="2" t="s">
        <v>218</v>
      </c>
      <c r="D190" s="22">
        <f t="shared" si="1"/>
        <v>-2.3098441629678206</v>
      </c>
      <c r="E190" s="2" t="s">
        <v>218</v>
      </c>
      <c r="F190" s="148" t="s">
        <v>294</v>
      </c>
      <c r="G190" s="149"/>
      <c r="H190" s="149"/>
      <c r="I190" s="149"/>
      <c r="J190" s="149"/>
      <c r="K190" s="150"/>
    </row>
    <row r="191" spans="1:11" ht="12.75">
      <c r="A191" s="1" t="s">
        <v>295</v>
      </c>
      <c r="B191" s="36">
        <f>B185-B182-(0.0833333333333333)+(B182*B189)</f>
        <v>-0.40564331511984325</v>
      </c>
      <c r="C191" s="2" t="s">
        <v>218</v>
      </c>
      <c r="D191" s="22">
        <f t="shared" si="1"/>
        <v>-0.40564331511984325</v>
      </c>
      <c r="E191" s="2" t="s">
        <v>218</v>
      </c>
      <c r="F191" s="148" t="s">
        <v>296</v>
      </c>
      <c r="G191" s="149"/>
      <c r="H191" s="149"/>
      <c r="I191" s="149"/>
      <c r="J191" s="149"/>
      <c r="K191" s="150"/>
    </row>
    <row r="192" spans="1:11" ht="12.75">
      <c r="A192" s="1" t="s">
        <v>297</v>
      </c>
      <c r="B192" s="36">
        <f>(-1)*((B163/4)^0.5)</f>
        <v>-1.9170519663286214</v>
      </c>
      <c r="C192" s="2" t="s">
        <v>218</v>
      </c>
      <c r="D192" s="22">
        <f t="shared" si="1"/>
        <v>-1.9170519663286214</v>
      </c>
      <c r="E192" s="2" t="s">
        <v>218</v>
      </c>
      <c r="F192" s="148" t="s">
        <v>298</v>
      </c>
      <c r="G192" s="149"/>
      <c r="H192" s="149"/>
      <c r="I192" s="149"/>
      <c r="J192" s="149"/>
      <c r="K192" s="150"/>
    </row>
    <row r="193" spans="1:11" ht="12.75">
      <c r="A193" s="1" t="s">
        <v>299</v>
      </c>
      <c r="B193" s="36">
        <f>(-1)*((B163/4)^(3/4))</f>
        <v>-2.654305020151033</v>
      </c>
      <c r="C193" s="2" t="s">
        <v>218</v>
      </c>
      <c r="D193" s="22">
        <f t="shared" si="1"/>
        <v>-2.654305020151033</v>
      </c>
      <c r="E193" s="2" t="s">
        <v>218</v>
      </c>
      <c r="F193" s="148" t="s">
        <v>300</v>
      </c>
      <c r="G193" s="149"/>
      <c r="H193" s="149"/>
      <c r="I193" s="149"/>
      <c r="J193" s="149"/>
      <c r="K193" s="150"/>
    </row>
    <row r="194" spans="1:11" ht="12.75">
      <c r="A194" s="1" t="s">
        <v>301</v>
      </c>
      <c r="B194" s="36">
        <f>(3*B160/2)-(B180*B193)</f>
        <v>4.316611540102237</v>
      </c>
      <c r="C194" s="2" t="s">
        <v>218</v>
      </c>
      <c r="D194" s="22">
        <f t="shared" si="1"/>
        <v>4.316611540102237</v>
      </c>
      <c r="E194" s="2" t="s">
        <v>218</v>
      </c>
      <c r="F194" s="148" t="s">
        <v>302</v>
      </c>
      <c r="G194" s="149"/>
      <c r="H194" s="149"/>
      <c r="I194" s="149"/>
      <c r="J194" s="149"/>
      <c r="K194" s="150"/>
    </row>
    <row r="195" spans="1:11" ht="12.75">
      <c r="A195" s="1" t="s">
        <v>303</v>
      </c>
      <c r="B195" s="36">
        <f>0.5-(B182*B193)</f>
        <v>0.9206129128751881</v>
      </c>
      <c r="C195" s="2" t="s">
        <v>218</v>
      </c>
      <c r="D195" s="22">
        <f t="shared" si="1"/>
        <v>0.9206129128751881</v>
      </c>
      <c r="E195" s="2" t="s">
        <v>218</v>
      </c>
      <c r="F195" s="148" t="s">
        <v>304</v>
      </c>
      <c r="G195" s="149"/>
      <c r="H195" s="149"/>
      <c r="I195" s="149"/>
      <c r="J195" s="149"/>
      <c r="K195" s="150"/>
    </row>
    <row r="196" spans="1:11" ht="12.75">
      <c r="A196" s="1" t="s">
        <v>305</v>
      </c>
      <c r="B196" s="36">
        <f>(0.5*B189*B195)+(B191*B194*B192)-((0.5*B193*B191)+(B195*B190*B192))</f>
        <v>-1.8954712111124632</v>
      </c>
      <c r="C196" s="2" t="s">
        <v>218</v>
      </c>
      <c r="D196" s="22">
        <f t="shared" si="1"/>
        <v>-1.8954712111124632</v>
      </c>
      <c r="E196" s="2" t="s">
        <v>218</v>
      </c>
      <c r="F196" s="148" t="s">
        <v>306</v>
      </c>
      <c r="G196" s="149"/>
      <c r="H196" s="149"/>
      <c r="I196" s="149"/>
      <c r="J196" s="149"/>
      <c r="K196" s="150"/>
    </row>
    <row r="197" spans="1:11" ht="12.75">
      <c r="A197" s="1" t="s">
        <v>307</v>
      </c>
      <c r="B197" s="36">
        <f>0.0833333333333333+B181-B184-(B181*B189)</f>
        <v>-4.46942164536104</v>
      </c>
      <c r="C197" s="2" t="s">
        <v>218</v>
      </c>
      <c r="D197" s="22">
        <f t="shared" si="1"/>
        <v>-4.46942164536104</v>
      </c>
      <c r="E197" s="2" t="s">
        <v>218</v>
      </c>
      <c r="F197" s="148" t="s">
        <v>308</v>
      </c>
      <c r="G197" s="149"/>
      <c r="H197" s="149"/>
      <c r="I197" s="149"/>
      <c r="J197" s="149"/>
      <c r="K197" s="150"/>
    </row>
    <row r="198" spans="1:11" ht="14.25" customHeight="1">
      <c r="A198" s="1" t="s">
        <v>309</v>
      </c>
      <c r="B198" s="36">
        <f>(-1)*B181*((B163/4)^0.75)</f>
        <v>5.224039784262896</v>
      </c>
      <c r="C198" s="2" t="s">
        <v>218</v>
      </c>
      <c r="D198" s="22">
        <f t="shared" si="1"/>
        <v>5.224039784262896</v>
      </c>
      <c r="E198" s="2" t="s">
        <v>218</v>
      </c>
      <c r="F198" s="148" t="s">
        <v>310</v>
      </c>
      <c r="G198" s="149"/>
      <c r="H198" s="149"/>
      <c r="I198" s="149"/>
      <c r="J198" s="149"/>
      <c r="K198" s="150"/>
    </row>
    <row r="199" spans="1:11" ht="12.75">
      <c r="A199" s="1" t="s">
        <v>311</v>
      </c>
      <c r="B199" s="36">
        <f>((B191*B198*B192)-(B195*B197*B192))/B196</f>
        <v>2.0182302085396184</v>
      </c>
      <c r="C199" s="2" t="s">
        <v>218</v>
      </c>
      <c r="D199" s="22">
        <f t="shared" si="1"/>
        <v>2.0182302085396184</v>
      </c>
      <c r="E199" s="2" t="s">
        <v>218</v>
      </c>
      <c r="F199" s="148" t="s">
        <v>312</v>
      </c>
      <c r="G199" s="149"/>
      <c r="H199" s="149"/>
      <c r="I199" s="149"/>
      <c r="J199" s="149"/>
      <c r="K199" s="150"/>
    </row>
    <row r="200" spans="1:11" ht="12.75">
      <c r="A200" s="1" t="s">
        <v>313</v>
      </c>
      <c r="B200" s="36">
        <f>((0.5*B189*B198)+(B197*B194*B192)-((0.5*B193*B197)+(B198*B190*B192)))/B196</f>
        <v>-2.2709642446954375</v>
      </c>
      <c r="C200" s="2" t="s">
        <v>218</v>
      </c>
      <c r="D200" s="22">
        <f t="shared" si="1"/>
        <v>-2.2709642446954375</v>
      </c>
      <c r="E200" s="2" t="s">
        <v>218</v>
      </c>
      <c r="F200" s="148" t="s">
        <v>314</v>
      </c>
      <c r="G200" s="149"/>
      <c r="H200" s="149"/>
      <c r="I200" s="149"/>
      <c r="J200" s="149"/>
      <c r="K200" s="150"/>
    </row>
    <row r="201" spans="1:11" ht="12.75">
      <c r="A201" s="1" t="s">
        <v>315</v>
      </c>
      <c r="B201" s="36">
        <f>(B180*B199)+B181+(B182*B200)</f>
        <v>-0.6288938697705087</v>
      </c>
      <c r="C201" s="2" t="s">
        <v>218</v>
      </c>
      <c r="D201" s="22">
        <f t="shared" si="1"/>
        <v>-0.6288938697705087</v>
      </c>
      <c r="E201" s="2" t="s">
        <v>218</v>
      </c>
      <c r="F201" s="148" t="s">
        <v>316</v>
      </c>
      <c r="G201" s="149"/>
      <c r="H201" s="149"/>
      <c r="I201" s="149"/>
      <c r="J201" s="149"/>
      <c r="K201" s="150"/>
    </row>
    <row r="202" spans="1:11" ht="12.75">
      <c r="A202" s="1" t="s">
        <v>317</v>
      </c>
      <c r="B202" s="36">
        <f>(B183*B199)+B184+(B185*B200)</f>
        <v>-0.035804106167244554</v>
      </c>
      <c r="C202" s="2" t="s">
        <v>218</v>
      </c>
      <c r="D202" s="22">
        <f t="shared" si="1"/>
        <v>-0.035804106167244554</v>
      </c>
      <c r="E202" s="2" t="s">
        <v>218</v>
      </c>
      <c r="F202" s="148" t="s">
        <v>318</v>
      </c>
      <c r="G202" s="149"/>
      <c r="H202" s="149"/>
      <c r="I202" s="149"/>
      <c r="J202" s="149"/>
      <c r="K202" s="150"/>
    </row>
    <row r="203" spans="1:11" ht="12.75">
      <c r="A203" s="1" t="s">
        <v>319</v>
      </c>
      <c r="B203" s="36">
        <f>(B186*B199)+B187+(B188*B200)</f>
        <v>0.021913980739720562</v>
      </c>
      <c r="C203" s="2" t="s">
        <v>218</v>
      </c>
      <c r="D203" s="22">
        <f t="shared" si="1"/>
        <v>0.021913980739720562</v>
      </c>
      <c r="E203" s="2" t="s">
        <v>218</v>
      </c>
      <c r="F203" s="148" t="s">
        <v>320</v>
      </c>
      <c r="G203" s="149"/>
      <c r="H203" s="149"/>
      <c r="I203" s="149"/>
      <c r="J203" s="149"/>
      <c r="K203" s="150"/>
    </row>
    <row r="204" spans="1:11" ht="12.75">
      <c r="A204" s="1" t="s">
        <v>321</v>
      </c>
      <c r="B204" s="36">
        <f>0.25+(B200/12)+(B199/4)-(B203/5)-(3*B202/2)-B201</f>
        <v>1.2435277646170495</v>
      </c>
      <c r="C204" s="2" t="s">
        <v>218</v>
      </c>
      <c r="D204" s="22">
        <f t="shared" si="1"/>
        <v>1.2435277646170495</v>
      </c>
      <c r="E204" s="2" t="s">
        <v>218</v>
      </c>
      <c r="F204" s="148" t="s">
        <v>322</v>
      </c>
      <c r="G204" s="149"/>
      <c r="H204" s="149"/>
      <c r="I204" s="149"/>
      <c r="J204" s="149"/>
      <c r="K204" s="150"/>
    </row>
    <row r="205" spans="1:11" ht="12.75">
      <c r="A205" s="1" t="s">
        <v>323</v>
      </c>
      <c r="B205" s="36">
        <f>B201*(0.5+B160/6)+(B202*(0.25+(11*B160/84)))+(B203*((0.0142857142857143)+(B160/105)))</f>
        <v>-0.47478716034660073</v>
      </c>
      <c r="C205" s="2" t="s">
        <v>218</v>
      </c>
      <c r="D205" s="22">
        <f t="shared" si="1"/>
        <v>-0.47478716034660073</v>
      </c>
      <c r="E205" s="2" t="s">
        <v>218</v>
      </c>
      <c r="F205" s="148" t="s">
        <v>324</v>
      </c>
      <c r="G205" s="149"/>
      <c r="H205" s="149"/>
      <c r="I205" s="149"/>
      <c r="J205" s="149"/>
      <c r="K205" s="150"/>
    </row>
    <row r="206" spans="1:11" ht="12.75">
      <c r="A206" s="1" t="s">
        <v>325</v>
      </c>
      <c r="B206" s="36">
        <f>B205-(B199*((7/120)+(B160/36)+(3*B160/B163)))-(1/40)-(B160/72)-(B200*((1/60)+(B160/120)+(1/B163)))</f>
        <v>-1.0676893468497646</v>
      </c>
      <c r="C206" s="2" t="s">
        <v>218</v>
      </c>
      <c r="D206" s="22">
        <f t="shared" si="1"/>
        <v>-1.0676893468497646</v>
      </c>
      <c r="E206" s="2" t="s">
        <v>218</v>
      </c>
      <c r="F206" s="148" t="s">
        <v>326</v>
      </c>
      <c r="G206" s="149"/>
      <c r="H206" s="149"/>
      <c r="I206" s="149"/>
      <c r="J206" s="149"/>
      <c r="K206" s="150"/>
    </row>
    <row r="207" spans="1:11" ht="12.75">
      <c r="A207" s="1" t="s">
        <v>327</v>
      </c>
      <c r="B207" s="36">
        <f>B204/(((2.73/B163)^0.25)*((1+B160)^3))</f>
        <v>0.13910533864597283</v>
      </c>
      <c r="C207" s="2" t="s">
        <v>218</v>
      </c>
      <c r="D207" s="22">
        <f t="shared" si="1"/>
        <v>0.13910533864597283</v>
      </c>
      <c r="E207" s="2" t="s">
        <v>218</v>
      </c>
      <c r="F207" s="148" t="s">
        <v>328</v>
      </c>
      <c r="G207" s="149"/>
      <c r="H207" s="149"/>
      <c r="I207" s="149"/>
      <c r="J207" s="149"/>
      <c r="K207" s="150"/>
    </row>
    <row r="208" spans="1:11" ht="12.75">
      <c r="A208" s="1" t="s">
        <v>329</v>
      </c>
      <c r="B208" s="36">
        <f>-(1)*B206/(((B163/2.73)^0.25)*(((1+B160)^3)/B163))</f>
        <v>0.7566210607037143</v>
      </c>
      <c r="C208" s="2" t="s">
        <v>218</v>
      </c>
      <c r="D208" s="22">
        <f t="shared" si="1"/>
        <v>0.7566210607037143</v>
      </c>
      <c r="E208" s="2" t="s">
        <v>218</v>
      </c>
      <c r="F208" s="148" t="s">
        <v>330</v>
      </c>
      <c r="G208" s="149"/>
      <c r="H208" s="149"/>
      <c r="I208" s="149"/>
      <c r="J208" s="149"/>
      <c r="K208" s="150"/>
    </row>
    <row r="209" spans="1:11" ht="21.75" customHeight="1">
      <c r="A209" s="10" t="s">
        <v>331</v>
      </c>
      <c r="B209" s="36">
        <f>-(1)*((B181*(0.5+(B160/6)))+(B184*(0.25+(11*B160/84)))+(B187*((1/70)+(B160/105)))-((1/40)+(B160/72)))/(((B163/2.73)^0.25)*(((1+B160)^3)/B163))</f>
        <v>1.0900140240037746</v>
      </c>
      <c r="C209" s="13" t="s">
        <v>218</v>
      </c>
      <c r="D209" s="22">
        <f t="shared" si="1"/>
        <v>1.0900140240037746</v>
      </c>
      <c r="E209" s="13" t="s">
        <v>218</v>
      </c>
      <c r="F209" s="174" t="s">
        <v>332</v>
      </c>
      <c r="G209" s="175"/>
      <c r="H209" s="175"/>
      <c r="I209" s="175"/>
      <c r="J209" s="175"/>
      <c r="K209" s="176"/>
    </row>
    <row r="210" spans="1:11" ht="12.75">
      <c r="A210" s="1" t="s">
        <v>333</v>
      </c>
      <c r="B210" s="36">
        <f>(0.25-(B187/5)-(3*B184/2)-B181)/(((2.73/B163)^0.25)*((1+B160)^3))</f>
        <v>0.2667109057044862</v>
      </c>
      <c r="C210" s="13" t="s">
        <v>218</v>
      </c>
      <c r="D210" s="22">
        <f t="shared" si="1"/>
        <v>0.2667109057044862</v>
      </c>
      <c r="E210" s="13" t="s">
        <v>218</v>
      </c>
      <c r="F210" s="148" t="s">
        <v>334</v>
      </c>
      <c r="G210" s="149"/>
      <c r="H210" s="149"/>
      <c r="I210" s="149"/>
      <c r="J210" s="149"/>
      <c r="K210" s="150"/>
    </row>
    <row r="211" spans="1:11" ht="12.75">
      <c r="A211" s="1" t="s">
        <v>335</v>
      </c>
      <c r="B211" s="36">
        <f>IF((B199/(1+B160))&lt;1,1,(B199/(1+B160)))</f>
        <v>1</v>
      </c>
      <c r="C211" s="13" t="s">
        <v>218</v>
      </c>
      <c r="D211" s="22">
        <f t="shared" si="1"/>
        <v>1</v>
      </c>
      <c r="E211" s="13" t="s">
        <v>218</v>
      </c>
      <c r="F211" s="148" t="s">
        <v>336</v>
      </c>
      <c r="G211" s="149"/>
      <c r="H211" s="149"/>
      <c r="I211" s="149"/>
      <c r="J211" s="149"/>
      <c r="K211" s="150"/>
    </row>
    <row r="212" spans="1:11" ht="12.75">
      <c r="A212" s="1" t="s">
        <v>5</v>
      </c>
      <c r="B212" s="36">
        <f>((B213^2)*(1+8.55246*(LOG(B213,10)))-1)/((1.0472+(1.9448*(B213^2)))*(B213-1))</f>
        <v>1.8361987132724895</v>
      </c>
      <c r="C212" s="2" t="s">
        <v>218</v>
      </c>
      <c r="D212" s="22">
        <f t="shared" si="1"/>
        <v>1.8361987132724895</v>
      </c>
      <c r="E212" s="2" t="s">
        <v>218</v>
      </c>
      <c r="F212" s="148" t="s">
        <v>337</v>
      </c>
      <c r="G212" s="149"/>
      <c r="H212" s="149"/>
      <c r="I212" s="149"/>
      <c r="J212" s="149"/>
      <c r="K212" s="150"/>
    </row>
    <row r="213" spans="1:11" ht="12.75">
      <c r="A213" s="1" t="s">
        <v>338</v>
      </c>
      <c r="B213" s="36">
        <f>+B57/B56</f>
        <v>1.206842105263158</v>
      </c>
      <c r="C213" s="2" t="s">
        <v>218</v>
      </c>
      <c r="D213" s="22">
        <f t="shared" si="1"/>
        <v>1.206842105263158</v>
      </c>
      <c r="E213" s="2" t="s">
        <v>218</v>
      </c>
      <c r="F213" s="148" t="s">
        <v>339</v>
      </c>
      <c r="G213" s="149"/>
      <c r="H213" s="149"/>
      <c r="I213" s="149"/>
      <c r="J213" s="149"/>
      <c r="K213" s="150"/>
    </row>
    <row r="214" spans="1:11" ht="12.75">
      <c r="A214" s="1" t="s">
        <v>340</v>
      </c>
      <c r="B214" s="36">
        <f>((B213^2)*(1+8.55246*(LOG(B213,10)))-1)/(1.36136*((B213^2)-1)*(B213-1))</f>
        <v>11.464073446113284</v>
      </c>
      <c r="C214" s="2" t="s">
        <v>218</v>
      </c>
      <c r="D214" s="22">
        <f t="shared" si="1"/>
        <v>11.464073446113284</v>
      </c>
      <c r="E214" s="2" t="s">
        <v>218</v>
      </c>
      <c r="F214" s="148" t="s">
        <v>341</v>
      </c>
      <c r="G214" s="149"/>
      <c r="H214" s="149"/>
      <c r="I214" s="149"/>
      <c r="J214" s="149"/>
      <c r="K214" s="150"/>
    </row>
    <row r="215" spans="1:11" ht="12.75">
      <c r="A215" s="1" t="s">
        <v>342</v>
      </c>
      <c r="B215" s="36">
        <f>(1/(B213-1))*(0.66845+(5.7169*(B213^2)*(LOG(B213,10))/((B213^2)-1)))</f>
        <v>10.43232957334133</v>
      </c>
      <c r="C215" s="2" t="s">
        <v>218</v>
      </c>
      <c r="D215" s="22">
        <f t="shared" si="1"/>
        <v>10.43232957334133</v>
      </c>
      <c r="E215" s="2" t="s">
        <v>218</v>
      </c>
      <c r="F215" s="148" t="s">
        <v>343</v>
      </c>
      <c r="G215" s="149"/>
      <c r="H215" s="149"/>
      <c r="I215" s="149"/>
      <c r="J215" s="149"/>
      <c r="K215" s="150"/>
    </row>
    <row r="216" spans="1:11" ht="12.75">
      <c r="A216" s="1" t="s">
        <v>344</v>
      </c>
      <c r="B216" s="36">
        <f>((B213^2)+1)/((B213^2)-1)</f>
        <v>5.381469418617845</v>
      </c>
      <c r="C216" s="2" t="s">
        <v>218</v>
      </c>
      <c r="D216" s="22">
        <f t="shared" si="1"/>
        <v>5.381469418617845</v>
      </c>
      <c r="E216" s="2" t="s">
        <v>218</v>
      </c>
      <c r="F216" s="148" t="s">
        <v>345</v>
      </c>
      <c r="G216" s="149"/>
      <c r="H216" s="149"/>
      <c r="I216" s="149"/>
      <c r="J216" s="149"/>
      <c r="K216" s="150"/>
    </row>
    <row r="217" spans="1:11" ht="12.75">
      <c r="A217" s="1" t="s">
        <v>346</v>
      </c>
      <c r="B217" s="36">
        <f>B208/B159</f>
        <v>0.08817903415885886</v>
      </c>
      <c r="C217" s="2" t="s">
        <v>111</v>
      </c>
      <c r="D217" s="22">
        <f>B217/25.4</f>
        <v>0.0034716155180653098</v>
      </c>
      <c r="E217" s="7" t="s">
        <v>112</v>
      </c>
      <c r="F217" s="148" t="s">
        <v>347</v>
      </c>
      <c r="G217" s="149"/>
      <c r="H217" s="149"/>
      <c r="I217" s="149"/>
      <c r="J217" s="149"/>
      <c r="K217" s="150"/>
    </row>
    <row r="218" spans="1:11" ht="12.75">
      <c r="A218" s="1" t="s">
        <v>348</v>
      </c>
      <c r="B218" s="36">
        <f>B209/B159</f>
        <v>0.12703371456098328</v>
      </c>
      <c r="C218" s="2" t="s">
        <v>111</v>
      </c>
      <c r="D218" s="22">
        <f>B218/25.4</f>
        <v>0.0050013273449206015</v>
      </c>
      <c r="E218" s="7" t="s">
        <v>112</v>
      </c>
      <c r="F218" s="148" t="s">
        <v>349</v>
      </c>
      <c r="G218" s="149"/>
      <c r="H218" s="149"/>
      <c r="I218" s="149"/>
      <c r="J218" s="149"/>
      <c r="K218" s="150"/>
    </row>
    <row r="219" spans="1:11" ht="12.75">
      <c r="A219" s="1" t="s">
        <v>350</v>
      </c>
      <c r="B219" s="36">
        <f>(B214/B207)*B159*(B54^2)</f>
        <v>685.0477341532214</v>
      </c>
      <c r="C219" s="2" t="s">
        <v>351</v>
      </c>
      <c r="D219" s="24">
        <f>B219*25.4*25.4*25.4</f>
        <v>11225921.062623825</v>
      </c>
      <c r="E219" s="7" t="s">
        <v>352</v>
      </c>
      <c r="F219" s="148" t="s">
        <v>353</v>
      </c>
      <c r="G219" s="149"/>
      <c r="H219" s="149"/>
      <c r="I219" s="149"/>
      <c r="J219" s="149"/>
      <c r="K219" s="150"/>
    </row>
    <row r="220" spans="1:11" ht="12.75">
      <c r="A220" s="1" t="s">
        <v>354</v>
      </c>
      <c r="B220" s="36">
        <f>(B214/B210)*B159*(B54^2)</f>
        <v>357.2924653993156</v>
      </c>
      <c r="C220" s="2" t="s">
        <v>351</v>
      </c>
      <c r="D220" s="24">
        <f>B220*25.4*25.4*25.4</f>
        <v>5854974.497216368</v>
      </c>
      <c r="E220" s="7" t="s">
        <v>352</v>
      </c>
      <c r="F220" s="148" t="s">
        <v>355</v>
      </c>
      <c r="G220" s="149"/>
      <c r="H220" s="149"/>
      <c r="I220" s="149"/>
      <c r="J220" s="149"/>
      <c r="K220" s="150"/>
    </row>
    <row r="221" spans="1:11" ht="12.75">
      <c r="A221" s="1" t="s">
        <v>356</v>
      </c>
      <c r="B221" s="36">
        <f>(((B61*B217)+1)/B212)+((B61^3)/B219)</f>
        <v>1.1209813464277771</v>
      </c>
      <c r="C221" s="2" t="s">
        <v>218</v>
      </c>
      <c r="D221" s="22">
        <f t="shared" si="1"/>
        <v>1.1209813464277771</v>
      </c>
      <c r="E221" s="2" t="s">
        <v>218</v>
      </c>
      <c r="F221" s="148" t="s">
        <v>357</v>
      </c>
      <c r="G221" s="149"/>
      <c r="H221" s="149"/>
      <c r="I221" s="149"/>
      <c r="J221" s="149"/>
      <c r="K221" s="150"/>
    </row>
    <row r="222" spans="1:11" ht="12.75">
      <c r="A222" s="1" t="s">
        <v>358</v>
      </c>
      <c r="B222" s="36">
        <f>(((B61*B218)+1)/B212)+((B61^3)/B220)</f>
        <v>1.5154215232064807</v>
      </c>
      <c r="C222" s="2" t="s">
        <v>218</v>
      </c>
      <c r="D222" s="22">
        <f>B222</f>
        <v>1.5154215232064807</v>
      </c>
      <c r="E222" s="2" t="s">
        <v>218</v>
      </c>
      <c r="F222" s="148" t="s">
        <v>359</v>
      </c>
      <c r="G222" s="149"/>
      <c r="H222" s="149"/>
      <c r="I222" s="149"/>
      <c r="J222" s="149"/>
      <c r="K222" s="150"/>
    </row>
  </sheetData>
  <sheetProtection password="C7F9" sheet="1" objects="1" scenarios="1"/>
  <mergeCells count="255">
    <mergeCell ref="A42:B42"/>
    <mergeCell ref="C42:K42"/>
    <mergeCell ref="F218:K218"/>
    <mergeCell ref="F219:K219"/>
    <mergeCell ref="F220:K220"/>
    <mergeCell ref="F221:K221"/>
    <mergeCell ref="F214:K214"/>
    <mergeCell ref="F215:K215"/>
    <mergeCell ref="F216:K216"/>
    <mergeCell ref="F217:K217"/>
    <mergeCell ref="F210:K210"/>
    <mergeCell ref="F211:K211"/>
    <mergeCell ref="F212:K212"/>
    <mergeCell ref="F213:K213"/>
    <mergeCell ref="F222:K222"/>
    <mergeCell ref="F204:K204"/>
    <mergeCell ref="F205:K205"/>
    <mergeCell ref="F206:K206"/>
    <mergeCell ref="F207:K207"/>
    <mergeCell ref="F208:K208"/>
    <mergeCell ref="F209:K209"/>
    <mergeCell ref="F198:K198"/>
    <mergeCell ref="F199:K199"/>
    <mergeCell ref="F200:K200"/>
    <mergeCell ref="F201:K201"/>
    <mergeCell ref="F202:K202"/>
    <mergeCell ref="F203:K203"/>
    <mergeCell ref="F192:K192"/>
    <mergeCell ref="F193:K193"/>
    <mergeCell ref="F194:K194"/>
    <mergeCell ref="F195:K195"/>
    <mergeCell ref="F196:K196"/>
    <mergeCell ref="F197:K197"/>
    <mergeCell ref="F186:K186"/>
    <mergeCell ref="F187:K187"/>
    <mergeCell ref="F188:K188"/>
    <mergeCell ref="F189:K189"/>
    <mergeCell ref="F190:K190"/>
    <mergeCell ref="F191:K191"/>
    <mergeCell ref="F180:K180"/>
    <mergeCell ref="F181:K181"/>
    <mergeCell ref="F182:K182"/>
    <mergeCell ref="F183:K183"/>
    <mergeCell ref="F184:K184"/>
    <mergeCell ref="F185:K185"/>
    <mergeCell ref="F174:K174"/>
    <mergeCell ref="F175:K175"/>
    <mergeCell ref="F176:K176"/>
    <mergeCell ref="F177:K177"/>
    <mergeCell ref="F178:K178"/>
    <mergeCell ref="F179:K179"/>
    <mergeCell ref="F168:K168"/>
    <mergeCell ref="F169:K169"/>
    <mergeCell ref="F170:K170"/>
    <mergeCell ref="F171:K171"/>
    <mergeCell ref="F172:K172"/>
    <mergeCell ref="F173:K173"/>
    <mergeCell ref="F162:K162"/>
    <mergeCell ref="F163:K163"/>
    <mergeCell ref="F164:K164"/>
    <mergeCell ref="F165:K165"/>
    <mergeCell ref="F166:K166"/>
    <mergeCell ref="F167:K167"/>
    <mergeCell ref="A156:K156"/>
    <mergeCell ref="A157:K157"/>
    <mergeCell ref="A158:K158"/>
    <mergeCell ref="F159:K159"/>
    <mergeCell ref="F160:K160"/>
    <mergeCell ref="F161:K161"/>
    <mergeCell ref="F151:K151"/>
    <mergeCell ref="F152:K152"/>
    <mergeCell ref="F153:K153"/>
    <mergeCell ref="F154:K154"/>
    <mergeCell ref="A155:E155"/>
    <mergeCell ref="F155:K155"/>
    <mergeCell ref="F146:K146"/>
    <mergeCell ref="F147:K147"/>
    <mergeCell ref="A148:E148"/>
    <mergeCell ref="F148:K148"/>
    <mergeCell ref="A149:K149"/>
    <mergeCell ref="F150:K150"/>
    <mergeCell ref="A141:E141"/>
    <mergeCell ref="F141:K141"/>
    <mergeCell ref="A142:K142"/>
    <mergeCell ref="F143:K143"/>
    <mergeCell ref="F144:K144"/>
    <mergeCell ref="F145:K145"/>
    <mergeCell ref="A135:K135"/>
    <mergeCell ref="F136:K136"/>
    <mergeCell ref="F137:K137"/>
    <mergeCell ref="F138:K138"/>
    <mergeCell ref="F139:K139"/>
    <mergeCell ref="F140:K140"/>
    <mergeCell ref="A129:K129"/>
    <mergeCell ref="A130:K130"/>
    <mergeCell ref="A131:K131"/>
    <mergeCell ref="A132:K132"/>
    <mergeCell ref="A133:K133"/>
    <mergeCell ref="C134:K134"/>
    <mergeCell ref="A123:K123"/>
    <mergeCell ref="A124:B128"/>
    <mergeCell ref="C124:K124"/>
    <mergeCell ref="C125:K125"/>
    <mergeCell ref="C126:K126"/>
    <mergeCell ref="C127:K127"/>
    <mergeCell ref="C128:K128"/>
    <mergeCell ref="F119:K119"/>
    <mergeCell ref="F120:K120"/>
    <mergeCell ref="A121:B121"/>
    <mergeCell ref="C121:D121"/>
    <mergeCell ref="H121:K121"/>
    <mergeCell ref="A122:B122"/>
    <mergeCell ref="C122:D122"/>
    <mergeCell ref="H122:K122"/>
    <mergeCell ref="A113:K113"/>
    <mergeCell ref="F114:K114"/>
    <mergeCell ref="F115:K115"/>
    <mergeCell ref="F116:K116"/>
    <mergeCell ref="F117:K117"/>
    <mergeCell ref="F118:K118"/>
    <mergeCell ref="A106:B106"/>
    <mergeCell ref="C106:D106"/>
    <mergeCell ref="H106:K106"/>
    <mergeCell ref="A107:K107"/>
    <mergeCell ref="A108:B112"/>
    <mergeCell ref="C108:K108"/>
    <mergeCell ref="C109:K109"/>
    <mergeCell ref="C110:K110"/>
    <mergeCell ref="C111:K111"/>
    <mergeCell ref="C112:K112"/>
    <mergeCell ref="A100:K100"/>
    <mergeCell ref="F101:K101"/>
    <mergeCell ref="F102:K102"/>
    <mergeCell ref="F103:K103"/>
    <mergeCell ref="F104:K104"/>
    <mergeCell ref="A105:B105"/>
    <mergeCell ref="C105:D105"/>
    <mergeCell ref="H105:K105"/>
    <mergeCell ref="A95:B99"/>
    <mergeCell ref="C95:K95"/>
    <mergeCell ref="C96:K96"/>
    <mergeCell ref="C97:K97"/>
    <mergeCell ref="C98:K98"/>
    <mergeCell ref="C99:K99"/>
    <mergeCell ref="A93:B93"/>
    <mergeCell ref="C93:D93"/>
    <mergeCell ref="H93:K93"/>
    <mergeCell ref="A94:B94"/>
    <mergeCell ref="C94:D94"/>
    <mergeCell ref="H94:K94"/>
    <mergeCell ref="A88:K88"/>
    <mergeCell ref="A89:K89"/>
    <mergeCell ref="A90:K90"/>
    <mergeCell ref="A91:B91"/>
    <mergeCell ref="D91:K91"/>
    <mergeCell ref="A92:B92"/>
    <mergeCell ref="C92:D92"/>
    <mergeCell ref="H92:K92"/>
    <mergeCell ref="A84:B84"/>
    <mergeCell ref="C84:D84"/>
    <mergeCell ref="H84:K84"/>
    <mergeCell ref="A85:K85"/>
    <mergeCell ref="A86:K86"/>
    <mergeCell ref="A87:K87"/>
    <mergeCell ref="F79:K79"/>
    <mergeCell ref="F80:K80"/>
    <mergeCell ref="F81:K81"/>
    <mergeCell ref="F82:K82"/>
    <mergeCell ref="A83:B83"/>
    <mergeCell ref="C83:D83"/>
    <mergeCell ref="H83:K83"/>
    <mergeCell ref="F73:K73"/>
    <mergeCell ref="F74:K74"/>
    <mergeCell ref="F75:K75"/>
    <mergeCell ref="F76:K76"/>
    <mergeCell ref="F77:K77"/>
    <mergeCell ref="F78:K78"/>
    <mergeCell ref="F67:K67"/>
    <mergeCell ref="F68:K68"/>
    <mergeCell ref="F69:K69"/>
    <mergeCell ref="F70:K70"/>
    <mergeCell ref="F71:K71"/>
    <mergeCell ref="A72:K72"/>
    <mergeCell ref="F61:K61"/>
    <mergeCell ref="F62:K62"/>
    <mergeCell ref="F63:K63"/>
    <mergeCell ref="F64:K64"/>
    <mergeCell ref="F65:K65"/>
    <mergeCell ref="F66:K66"/>
    <mergeCell ref="F55:K55"/>
    <mergeCell ref="F56:K56"/>
    <mergeCell ref="F57:K57"/>
    <mergeCell ref="F58:K58"/>
    <mergeCell ref="F59:K59"/>
    <mergeCell ref="F60:K60"/>
    <mergeCell ref="A49:K49"/>
    <mergeCell ref="A50:K50"/>
    <mergeCell ref="C51:K51"/>
    <mergeCell ref="F52:K52"/>
    <mergeCell ref="F53:K53"/>
    <mergeCell ref="F54:K54"/>
    <mergeCell ref="F43:K43"/>
    <mergeCell ref="F44:K44"/>
    <mergeCell ref="F45:K45"/>
    <mergeCell ref="A46:K46"/>
    <mergeCell ref="A47:K47"/>
    <mergeCell ref="A48:K48"/>
    <mergeCell ref="F36:K36"/>
    <mergeCell ref="F37:K37"/>
    <mergeCell ref="F38:K38"/>
    <mergeCell ref="F39:K39"/>
    <mergeCell ref="F40:K40"/>
    <mergeCell ref="F41:K41"/>
    <mergeCell ref="F29:K29"/>
    <mergeCell ref="F30:K30"/>
    <mergeCell ref="A31:K31"/>
    <mergeCell ref="F32:K32"/>
    <mergeCell ref="F33:K33"/>
    <mergeCell ref="F34:K34"/>
    <mergeCell ref="F23:K23"/>
    <mergeCell ref="F24:K24"/>
    <mergeCell ref="F25:K25"/>
    <mergeCell ref="F26:K26"/>
    <mergeCell ref="F27:K27"/>
    <mergeCell ref="A28:K28"/>
    <mergeCell ref="F17:K17"/>
    <mergeCell ref="F18:K18"/>
    <mergeCell ref="F19:K19"/>
    <mergeCell ref="F20:K20"/>
    <mergeCell ref="F21:K21"/>
    <mergeCell ref="F22:K22"/>
    <mergeCell ref="F11:K11"/>
    <mergeCell ref="F12:K12"/>
    <mergeCell ref="F13:K13"/>
    <mergeCell ref="F14:K14"/>
    <mergeCell ref="F15:K15"/>
    <mergeCell ref="F16:K16"/>
    <mergeCell ref="A8:E8"/>
    <mergeCell ref="F8:K8"/>
    <mergeCell ref="A9:K9"/>
    <mergeCell ref="B10:C10"/>
    <mergeCell ref="D10:E10"/>
    <mergeCell ref="F10:K10"/>
    <mergeCell ref="A5:E5"/>
    <mergeCell ref="F5:K5"/>
    <mergeCell ref="A6:E6"/>
    <mergeCell ref="F6:K6"/>
    <mergeCell ref="A7:E7"/>
    <mergeCell ref="F7:K7"/>
    <mergeCell ref="A1:I1"/>
    <mergeCell ref="J1:K1"/>
    <mergeCell ref="A2:I2"/>
    <mergeCell ref="J2:K2"/>
    <mergeCell ref="A3:K3"/>
    <mergeCell ref="A4:K4"/>
  </mergeCells>
  <conditionalFormatting sqref="C95:K95 C108:K108 C124:K124">
    <cfRule type="cellIs" priority="1" dxfId="1" operator="equal" stopIfTrue="1">
      <formula>"A tensão longitudinal não passou"</formula>
    </cfRule>
  </conditionalFormatting>
  <conditionalFormatting sqref="C96:K96 C109:K109 C125:K125">
    <cfRule type="cellIs" priority="2" dxfId="1" operator="equal" stopIfTrue="1">
      <formula>"A tensão radial não passou"</formula>
    </cfRule>
  </conditionalFormatting>
  <conditionalFormatting sqref="C97:K97 C110:K110 C126:K126">
    <cfRule type="cellIs" priority="3" dxfId="1" operator="equal" stopIfTrue="1">
      <formula>"A tensão tangencial não passou"</formula>
    </cfRule>
  </conditionalFormatting>
  <conditionalFormatting sqref="C98:K98">
    <cfRule type="cellIs" priority="4" dxfId="1" operator="equal" stopIfTrue="1">
      <formula>"Não passou: ((SHO+SRO)/2) é maior do que Sfp"</formula>
    </cfRule>
  </conditionalFormatting>
  <conditionalFormatting sqref="C99:K99">
    <cfRule type="cellIs" priority="5" dxfId="1" operator="equal" stopIfTrue="1">
      <formula>"Não passou: ((SHO+STO)/2) é mairo do que Sfp"</formula>
    </cfRule>
  </conditionalFormatting>
  <conditionalFormatting sqref="C111:K111">
    <cfRule type="cellIs" priority="6" dxfId="1" operator="equal" stopIfTrue="1">
      <formula>"Não passou: ((SHA+SRA)/2) é maior do que Sff"</formula>
    </cfRule>
  </conditionalFormatting>
  <conditionalFormatting sqref="C112:K112">
    <cfRule type="cellIs" priority="7" dxfId="1" operator="equal" stopIfTrue="1">
      <formula>"Não passou: ((SHA+STA)/2) é maior do que Sff"</formula>
    </cfRule>
  </conditionalFormatting>
  <conditionalFormatting sqref="C127:K127">
    <cfRule type="cellIs" priority="8" dxfId="1" operator="equal" stopIfTrue="1">
      <formula>"Não passou: ((SHI+SRI)/2) é maior do que Sff"</formula>
    </cfRule>
  </conditionalFormatting>
  <conditionalFormatting sqref="C128:K128">
    <cfRule type="cellIs" priority="9" dxfId="1" operator="equal" stopIfTrue="1">
      <formula>"Não passou: ((SHI+STI)/2) é maior do que Sff"</formula>
    </cfRule>
  </conditionalFormatting>
  <conditionalFormatting sqref="F141:K141 F148:K148 F155:K155">
    <cfRule type="cellIs" priority="10" dxfId="1" operator="equal" stopIfTrue="1">
      <formula>"Reanalisar, os flanges não tem rigidez suficiente"</formula>
    </cfRule>
  </conditionalFormatting>
  <conditionalFormatting sqref="C42:K42">
    <cfRule type="cellIs" priority="11" dxfId="0" operator="equal" stopIfTrue="1">
      <formula>"A área resistente dos parafusos está OK!"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9.140625" style="34" customWidth="1"/>
    <col min="2" max="2" width="12.28125" style="34" customWidth="1"/>
    <col min="3" max="3" width="9.140625" style="34" customWidth="1"/>
    <col min="4" max="4" width="12.00390625" style="34" customWidth="1"/>
    <col min="5" max="10" width="9.140625" style="34" customWidth="1"/>
    <col min="11" max="11" width="13.57421875" style="34" customWidth="1"/>
    <col min="12" max="16384" width="9.140625" style="34" customWidth="1"/>
  </cols>
  <sheetData>
    <row r="1" spans="1:11" ht="14.25">
      <c r="A1" s="106" t="s">
        <v>34</v>
      </c>
      <c r="B1" s="107"/>
      <c r="C1" s="107"/>
      <c r="D1" s="107"/>
      <c r="E1" s="107"/>
      <c r="F1" s="107"/>
      <c r="G1" s="107"/>
      <c r="H1" s="107"/>
      <c r="I1" s="108"/>
      <c r="J1" s="109" t="s">
        <v>35</v>
      </c>
      <c r="K1" s="110"/>
    </row>
    <row r="2" spans="1:11" ht="12.75">
      <c r="A2" s="111" t="s">
        <v>36</v>
      </c>
      <c r="B2" s="112"/>
      <c r="C2" s="112"/>
      <c r="D2" s="112"/>
      <c r="E2" s="112"/>
      <c r="F2" s="112"/>
      <c r="G2" s="112"/>
      <c r="H2" s="112"/>
      <c r="I2" s="113"/>
      <c r="J2" s="114" t="s">
        <v>37</v>
      </c>
      <c r="K2" s="115"/>
    </row>
    <row r="3" spans="1:11" ht="12.7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8">
      <c r="A4" s="119" t="s">
        <v>38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2.75">
      <c r="A5" s="120" t="s">
        <v>39</v>
      </c>
      <c r="B5" s="121"/>
      <c r="C5" s="121"/>
      <c r="D5" s="121"/>
      <c r="E5" s="122"/>
      <c r="F5" s="123" t="s">
        <v>387</v>
      </c>
      <c r="G5" s="124"/>
      <c r="H5" s="124"/>
      <c r="I5" s="124"/>
      <c r="J5" s="124"/>
      <c r="K5" s="125"/>
    </row>
    <row r="6" spans="1:11" ht="12.75">
      <c r="A6" s="120" t="s">
        <v>40</v>
      </c>
      <c r="B6" s="121"/>
      <c r="C6" s="121"/>
      <c r="D6" s="121"/>
      <c r="E6" s="122"/>
      <c r="F6" s="126" t="s">
        <v>388</v>
      </c>
      <c r="G6" s="127"/>
      <c r="H6" s="127"/>
      <c r="I6" s="127"/>
      <c r="J6" s="127"/>
      <c r="K6" s="128"/>
    </row>
    <row r="7" spans="1:11" ht="12.75">
      <c r="A7" s="120" t="s">
        <v>41</v>
      </c>
      <c r="B7" s="121"/>
      <c r="C7" s="121"/>
      <c r="D7" s="121"/>
      <c r="E7" s="122"/>
      <c r="F7" s="126" t="s">
        <v>389</v>
      </c>
      <c r="G7" s="127"/>
      <c r="H7" s="127"/>
      <c r="I7" s="127"/>
      <c r="J7" s="127"/>
      <c r="K7" s="128"/>
    </row>
    <row r="8" spans="1:11" ht="12.75">
      <c r="A8" s="120" t="s">
        <v>42</v>
      </c>
      <c r="B8" s="121"/>
      <c r="C8" s="121"/>
      <c r="D8" s="121"/>
      <c r="E8" s="122"/>
      <c r="F8" s="129" t="s">
        <v>369</v>
      </c>
      <c r="G8" s="130"/>
      <c r="H8" s="130"/>
      <c r="I8" s="130"/>
      <c r="J8" s="130"/>
      <c r="K8" s="131"/>
    </row>
    <row r="9" spans="1:11" ht="12.75">
      <c r="A9" s="132" t="s">
        <v>43</v>
      </c>
      <c r="B9" s="133"/>
      <c r="C9" s="133"/>
      <c r="D9" s="133"/>
      <c r="E9" s="133"/>
      <c r="F9" s="133"/>
      <c r="G9" s="133"/>
      <c r="H9" s="133"/>
      <c r="I9" s="133"/>
      <c r="J9" s="133"/>
      <c r="K9" s="134"/>
    </row>
    <row r="10" spans="1:11" ht="12.75">
      <c r="A10" s="9"/>
      <c r="B10" s="135" t="s">
        <v>44</v>
      </c>
      <c r="C10" s="136"/>
      <c r="D10" s="135" t="s">
        <v>45</v>
      </c>
      <c r="E10" s="136"/>
      <c r="F10" s="137"/>
      <c r="G10" s="133"/>
      <c r="H10" s="133"/>
      <c r="I10" s="133"/>
      <c r="J10" s="133"/>
      <c r="K10" s="138"/>
    </row>
    <row r="11" spans="1:11" ht="12.75">
      <c r="A11" s="1" t="s">
        <v>46</v>
      </c>
      <c r="B11" s="25">
        <f>2007.5/25.4</f>
        <v>79.03543307086615</v>
      </c>
      <c r="C11" s="2" t="s">
        <v>47</v>
      </c>
      <c r="D11" s="3">
        <f>B11*25.4</f>
        <v>2007.5</v>
      </c>
      <c r="E11" s="7" t="s">
        <v>2</v>
      </c>
      <c r="F11" s="139" t="s">
        <v>48</v>
      </c>
      <c r="G11" s="140"/>
      <c r="H11" s="140"/>
      <c r="I11" s="140"/>
      <c r="J11" s="140"/>
      <c r="K11" s="141"/>
    </row>
    <row r="12" spans="1:11" ht="12.75">
      <c r="A12" s="1" t="s">
        <v>49</v>
      </c>
      <c r="B12" s="25">
        <f>1920/25.4</f>
        <v>75.59055118110237</v>
      </c>
      <c r="C12" s="2" t="s">
        <v>47</v>
      </c>
      <c r="D12" s="3">
        <f>B12*25.4</f>
        <v>1920</v>
      </c>
      <c r="E12" s="7" t="s">
        <v>2</v>
      </c>
      <c r="F12" s="139" t="s">
        <v>50</v>
      </c>
      <c r="G12" s="140"/>
      <c r="H12" s="140"/>
      <c r="I12" s="140"/>
      <c r="J12" s="140"/>
      <c r="K12" s="141"/>
    </row>
    <row r="13" spans="1:11" ht="12.75">
      <c r="A13" s="1" t="s">
        <v>51</v>
      </c>
      <c r="B13" s="26">
        <v>3</v>
      </c>
      <c r="C13" s="2" t="s">
        <v>14</v>
      </c>
      <c r="D13" s="3">
        <f>B13</f>
        <v>3</v>
      </c>
      <c r="E13" s="2" t="s">
        <v>14</v>
      </c>
      <c r="F13" s="139" t="s">
        <v>52</v>
      </c>
      <c r="G13" s="140"/>
      <c r="H13" s="140"/>
      <c r="I13" s="140"/>
      <c r="J13" s="140"/>
      <c r="K13" s="141"/>
    </row>
    <row r="14" spans="1:11" ht="12.75">
      <c r="A14" s="1" t="s">
        <v>53</v>
      </c>
      <c r="B14" s="27">
        <f>3*14.22</f>
        <v>42.660000000000004</v>
      </c>
      <c r="C14" s="2" t="s">
        <v>0</v>
      </c>
      <c r="D14" s="3">
        <f>B14*6.894757</f>
        <v>294.13033362000004</v>
      </c>
      <c r="E14" s="7" t="s">
        <v>9</v>
      </c>
      <c r="F14" s="142" t="s">
        <v>54</v>
      </c>
      <c r="G14" s="143"/>
      <c r="H14" s="143"/>
      <c r="I14" s="143"/>
      <c r="J14" s="143"/>
      <c r="K14" s="144"/>
    </row>
    <row r="15" spans="1:11" ht="12.75">
      <c r="A15" s="1" t="s">
        <v>55</v>
      </c>
      <c r="B15" s="27">
        <v>1858116.72</v>
      </c>
      <c r="C15" s="2" t="s">
        <v>56</v>
      </c>
      <c r="D15" s="3">
        <f>B15*0.01152124</f>
        <v>21407.8086791328</v>
      </c>
      <c r="E15" s="7" t="s">
        <v>57</v>
      </c>
      <c r="F15" s="142" t="s">
        <v>58</v>
      </c>
      <c r="G15" s="143"/>
      <c r="H15" s="143"/>
      <c r="I15" s="143"/>
      <c r="J15" s="143"/>
      <c r="K15" s="144"/>
    </row>
    <row r="16" spans="1:11" ht="17.25" customHeight="1">
      <c r="A16" s="10" t="s">
        <v>59</v>
      </c>
      <c r="B16" s="27">
        <v>11341</v>
      </c>
      <c r="C16" s="2" t="s">
        <v>29</v>
      </c>
      <c r="D16" s="3">
        <f>B16*0.4535924</f>
        <v>5144.1914084</v>
      </c>
      <c r="E16" s="7" t="s">
        <v>1</v>
      </c>
      <c r="F16" s="145" t="s">
        <v>60</v>
      </c>
      <c r="G16" s="146"/>
      <c r="H16" s="146"/>
      <c r="I16" s="146"/>
      <c r="J16" s="146"/>
      <c r="K16" s="147"/>
    </row>
    <row r="17" spans="1:11" ht="12.75">
      <c r="A17" s="1" t="s">
        <v>61</v>
      </c>
      <c r="B17" s="8">
        <f>(16*B15)/(3.14*(B24^3))</f>
        <v>19.86948257009571</v>
      </c>
      <c r="C17" s="2" t="s">
        <v>0</v>
      </c>
      <c r="D17" s="3">
        <f>B17*6.894757</f>
        <v>136.9952540365454</v>
      </c>
      <c r="E17" s="7" t="s">
        <v>9</v>
      </c>
      <c r="F17" s="145" t="s">
        <v>62</v>
      </c>
      <c r="G17" s="146"/>
      <c r="H17" s="146"/>
      <c r="I17" s="146"/>
      <c r="J17" s="146"/>
      <c r="K17" s="147"/>
    </row>
    <row r="18" spans="1:11" ht="12.75">
      <c r="A18" s="1" t="s">
        <v>63</v>
      </c>
      <c r="B18" s="8">
        <f>(4*B16)/(3.1416*(B24^2))</f>
        <v>2.366878372790934</v>
      </c>
      <c r="C18" s="2" t="s">
        <v>0</v>
      </c>
      <c r="D18" s="3">
        <f>B18*6.894757</f>
        <v>16.3190512289489</v>
      </c>
      <c r="E18" s="7" t="s">
        <v>9</v>
      </c>
      <c r="F18" s="145" t="s">
        <v>64</v>
      </c>
      <c r="G18" s="146"/>
      <c r="H18" s="146"/>
      <c r="I18" s="146"/>
      <c r="J18" s="146"/>
      <c r="K18" s="147"/>
    </row>
    <row r="19" spans="1:11" ht="12.75">
      <c r="A19" s="1" t="s">
        <v>65</v>
      </c>
      <c r="B19" s="8">
        <f>((16*B15)/(3.14*(B24^3)))+((4*B16)/(3.14*(B24^2)))</f>
        <v>22.237566995560677</v>
      </c>
      <c r="C19" s="2" t="s">
        <v>0</v>
      </c>
      <c r="D19" s="3">
        <f>B19*6.894757</f>
        <v>153.32262070561094</v>
      </c>
      <c r="E19" s="7" t="s">
        <v>9</v>
      </c>
      <c r="F19" s="145" t="s">
        <v>66</v>
      </c>
      <c r="G19" s="146"/>
      <c r="H19" s="146"/>
      <c r="I19" s="146"/>
      <c r="J19" s="146"/>
      <c r="K19" s="147"/>
    </row>
    <row r="20" spans="1:11" ht="12.75">
      <c r="A20" s="1" t="s">
        <v>67</v>
      </c>
      <c r="B20" s="8">
        <f>B19+B14</f>
        <v>64.89756699556068</v>
      </c>
      <c r="C20" s="2" t="s">
        <v>0</v>
      </c>
      <c r="D20" s="3">
        <f>B20*6.894757</f>
        <v>447.45295432561096</v>
      </c>
      <c r="E20" s="7" t="s">
        <v>9</v>
      </c>
      <c r="F20" s="145" t="s">
        <v>68</v>
      </c>
      <c r="G20" s="146"/>
      <c r="H20" s="146"/>
      <c r="I20" s="146"/>
      <c r="J20" s="146"/>
      <c r="K20" s="147"/>
    </row>
    <row r="21" spans="1:11" ht="12.75">
      <c r="A21" s="1" t="s">
        <v>69</v>
      </c>
      <c r="B21" s="8">
        <f>((B11-B12)/2)</f>
        <v>1.722440944881889</v>
      </c>
      <c r="C21" s="2" t="s">
        <v>47</v>
      </c>
      <c r="D21" s="3">
        <f>B21*25.4</f>
        <v>43.74999999999998</v>
      </c>
      <c r="E21" s="7" t="s">
        <v>2</v>
      </c>
      <c r="F21" s="142" t="s">
        <v>70</v>
      </c>
      <c r="G21" s="143"/>
      <c r="H21" s="143"/>
      <c r="I21" s="143"/>
      <c r="J21" s="143"/>
      <c r="K21" s="144"/>
    </row>
    <row r="22" spans="1:11" ht="12.75">
      <c r="A22" s="1" t="s">
        <v>71</v>
      </c>
      <c r="B22" s="8">
        <f>+B21/2</f>
        <v>0.8612204724409445</v>
      </c>
      <c r="C22" s="2" t="s">
        <v>47</v>
      </c>
      <c r="D22" s="3">
        <f>B22*25.4</f>
        <v>21.87499999999999</v>
      </c>
      <c r="E22" s="7" t="s">
        <v>2</v>
      </c>
      <c r="F22" s="148" t="s">
        <v>72</v>
      </c>
      <c r="G22" s="149"/>
      <c r="H22" s="149"/>
      <c r="I22" s="149"/>
      <c r="J22" s="149"/>
      <c r="K22" s="150"/>
    </row>
    <row r="23" spans="1:11" ht="21" customHeight="1">
      <c r="A23" s="10" t="s">
        <v>73</v>
      </c>
      <c r="B23" s="8">
        <f>IF(B22&lt;=0.25,B22,0.5*SQRT(B22))</f>
        <v>0.4640098254457939</v>
      </c>
      <c r="C23" s="2" t="s">
        <v>47</v>
      </c>
      <c r="D23" s="3">
        <f>B23*25.4</f>
        <v>11.785849566323163</v>
      </c>
      <c r="E23" s="7" t="s">
        <v>2</v>
      </c>
      <c r="F23" s="151" t="s">
        <v>360</v>
      </c>
      <c r="G23" s="152"/>
      <c r="H23" s="152"/>
      <c r="I23" s="152"/>
      <c r="J23" s="152"/>
      <c r="K23" s="153"/>
    </row>
    <row r="24" spans="1:11" ht="17.25" customHeight="1">
      <c r="A24" s="1" t="s">
        <v>74</v>
      </c>
      <c r="B24" s="8">
        <f>IF(B22&lt;=0.25,((B11+B12)/2),(B11-(2*B23)))</f>
        <v>78.10741341997456</v>
      </c>
      <c r="C24" s="2" t="s">
        <v>47</v>
      </c>
      <c r="D24" s="3">
        <f>B24*25.4</f>
        <v>1983.9283008673538</v>
      </c>
      <c r="E24" s="7" t="s">
        <v>2</v>
      </c>
      <c r="F24" s="145" t="s">
        <v>75</v>
      </c>
      <c r="G24" s="146"/>
      <c r="H24" s="146"/>
      <c r="I24" s="146"/>
      <c r="J24" s="146"/>
      <c r="K24" s="147"/>
    </row>
    <row r="25" spans="1:11" ht="12.75">
      <c r="A25" s="1" t="s">
        <v>76</v>
      </c>
      <c r="B25" s="3">
        <f>B20*0.785*B24*B24</f>
        <v>310801.12659080606</v>
      </c>
      <c r="C25" s="2" t="s">
        <v>29</v>
      </c>
      <c r="D25" s="3">
        <f>B25*0.4535924</f>
        <v>140977.02893302753</v>
      </c>
      <c r="E25" s="7" t="s">
        <v>1</v>
      </c>
      <c r="F25" s="145" t="s">
        <v>77</v>
      </c>
      <c r="G25" s="146"/>
      <c r="H25" s="146"/>
      <c r="I25" s="146"/>
      <c r="J25" s="146"/>
      <c r="K25" s="147"/>
    </row>
    <row r="26" spans="1:11" ht="12.75">
      <c r="A26" s="1" t="s">
        <v>78</v>
      </c>
      <c r="B26" s="3">
        <f>B13*B14*2*B23*B24*3.14</f>
        <v>29128.705354052527</v>
      </c>
      <c r="C26" s="2" t="s">
        <v>29</v>
      </c>
      <c r="D26" s="3">
        <f>B26*0.4535924</f>
        <v>13212.559370437535</v>
      </c>
      <c r="E26" s="7" t="s">
        <v>1</v>
      </c>
      <c r="F26" s="145" t="s">
        <v>79</v>
      </c>
      <c r="G26" s="146"/>
      <c r="H26" s="146"/>
      <c r="I26" s="146"/>
      <c r="J26" s="146"/>
      <c r="K26" s="147"/>
    </row>
    <row r="27" spans="1:11" ht="12.75">
      <c r="A27" s="11" t="s">
        <v>80</v>
      </c>
      <c r="B27" s="3">
        <f>B25+B26</f>
        <v>339929.8319448586</v>
      </c>
      <c r="C27" s="2" t="s">
        <v>29</v>
      </c>
      <c r="D27" s="3">
        <f>B27*0.4535924</f>
        <v>154189.58830346508</v>
      </c>
      <c r="E27" s="7" t="s">
        <v>1</v>
      </c>
      <c r="F27" s="145" t="s">
        <v>81</v>
      </c>
      <c r="G27" s="146"/>
      <c r="H27" s="146"/>
      <c r="I27" s="146"/>
      <c r="J27" s="146"/>
      <c r="K27" s="147"/>
    </row>
    <row r="28" spans="1:11" ht="12.75">
      <c r="A28" s="154" t="s">
        <v>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6"/>
    </row>
    <row r="29" spans="1:11" ht="22.5" customHeight="1">
      <c r="A29" s="1" t="s">
        <v>82</v>
      </c>
      <c r="B29" s="28">
        <v>10000</v>
      </c>
      <c r="C29" s="2" t="s">
        <v>0</v>
      </c>
      <c r="D29" s="3">
        <f>B29*6.894757</f>
        <v>68947.57</v>
      </c>
      <c r="E29" s="7" t="s">
        <v>9</v>
      </c>
      <c r="F29" s="145" t="s">
        <v>83</v>
      </c>
      <c r="G29" s="146"/>
      <c r="H29" s="146"/>
      <c r="I29" s="146"/>
      <c r="J29" s="146"/>
      <c r="K29" s="147"/>
    </row>
    <row r="30" spans="1:11" ht="12.75">
      <c r="A30" s="1" t="s">
        <v>84</v>
      </c>
      <c r="B30" s="3">
        <f>B23*B24*B29*3.1416</f>
        <v>1138597.7499008528</v>
      </c>
      <c r="C30" s="2" t="s">
        <v>29</v>
      </c>
      <c r="D30" s="3">
        <f>B30*0.4535924</f>
        <v>516459.2860121276</v>
      </c>
      <c r="E30" s="7" t="s">
        <v>1</v>
      </c>
      <c r="F30" s="145" t="s">
        <v>85</v>
      </c>
      <c r="G30" s="146"/>
      <c r="H30" s="146"/>
      <c r="I30" s="146"/>
      <c r="J30" s="146"/>
      <c r="K30" s="147"/>
    </row>
    <row r="31" spans="1:11" ht="23.25" customHeight="1">
      <c r="A31" s="154" t="s">
        <v>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6"/>
    </row>
    <row r="32" spans="1:11" ht="12.75">
      <c r="A32" s="1" t="s">
        <v>5</v>
      </c>
      <c r="B32" s="28">
        <v>380</v>
      </c>
      <c r="C32" s="2" t="s">
        <v>6</v>
      </c>
      <c r="D32" s="41">
        <f>B32*1.8+32</f>
        <v>716</v>
      </c>
      <c r="E32" s="2" t="s">
        <v>6</v>
      </c>
      <c r="F32" s="148" t="s">
        <v>7</v>
      </c>
      <c r="G32" s="149"/>
      <c r="H32" s="149"/>
      <c r="I32" s="149"/>
      <c r="J32" s="149"/>
      <c r="K32" s="150"/>
    </row>
    <row r="33" spans="1:11" ht="12.75">
      <c r="A33" s="1" t="s">
        <v>8</v>
      </c>
      <c r="B33" s="28">
        <v>11700</v>
      </c>
      <c r="C33" s="2" t="s">
        <v>0</v>
      </c>
      <c r="D33" s="3">
        <f>B33*6.894757</f>
        <v>80668.6569</v>
      </c>
      <c r="E33" s="7" t="s">
        <v>9</v>
      </c>
      <c r="F33" s="148" t="s">
        <v>10</v>
      </c>
      <c r="G33" s="149"/>
      <c r="H33" s="149"/>
      <c r="I33" s="149"/>
      <c r="J33" s="149"/>
      <c r="K33" s="150"/>
    </row>
    <row r="34" spans="1:11" ht="12.75">
      <c r="A34" s="1" t="s">
        <v>11</v>
      </c>
      <c r="B34" s="28">
        <v>18800</v>
      </c>
      <c r="C34" s="2" t="s">
        <v>0</v>
      </c>
      <c r="D34" s="3">
        <f>B34*6.894757</f>
        <v>129621.43160000001</v>
      </c>
      <c r="E34" s="7" t="s">
        <v>9</v>
      </c>
      <c r="F34" s="148" t="s">
        <v>12</v>
      </c>
      <c r="G34" s="149"/>
      <c r="H34" s="149"/>
      <c r="I34" s="149"/>
      <c r="J34" s="149"/>
      <c r="K34" s="150"/>
    </row>
    <row r="35" spans="1:11" ht="12.75">
      <c r="A35" s="1" t="s">
        <v>363</v>
      </c>
      <c r="B35" s="28">
        <v>2</v>
      </c>
      <c r="C35" s="2" t="s">
        <v>47</v>
      </c>
      <c r="D35" s="3">
        <f>B35*25.4</f>
        <v>50.8</v>
      </c>
      <c r="E35" s="7" t="s">
        <v>2</v>
      </c>
      <c r="F35" s="4" t="s">
        <v>364</v>
      </c>
      <c r="G35" s="5"/>
      <c r="H35" s="5"/>
      <c r="I35" s="5"/>
      <c r="J35" s="5"/>
      <c r="K35" s="6"/>
    </row>
    <row r="36" spans="1:11" ht="12.75">
      <c r="A36" s="1" t="s">
        <v>13</v>
      </c>
      <c r="B36" s="28">
        <v>48</v>
      </c>
      <c r="C36" s="2" t="s">
        <v>14</v>
      </c>
      <c r="D36" s="3">
        <f>B36</f>
        <v>48</v>
      </c>
      <c r="E36" s="7" t="s">
        <v>14</v>
      </c>
      <c r="F36" s="139" t="s">
        <v>15</v>
      </c>
      <c r="G36" s="140"/>
      <c r="H36" s="140"/>
      <c r="I36" s="140"/>
      <c r="J36" s="140"/>
      <c r="K36" s="141"/>
    </row>
    <row r="37" spans="1:11" ht="12.75">
      <c r="A37" s="1" t="s">
        <v>16</v>
      </c>
      <c r="B37" s="28">
        <v>2.652</v>
      </c>
      <c r="C37" s="2" t="s">
        <v>17</v>
      </c>
      <c r="D37" s="3">
        <f>B37*25.4*25.4</f>
        <v>1710.9643199999998</v>
      </c>
      <c r="E37" s="7" t="s">
        <v>18</v>
      </c>
      <c r="F37" s="148" t="s">
        <v>19</v>
      </c>
      <c r="G37" s="149"/>
      <c r="H37" s="149"/>
      <c r="I37" s="149"/>
      <c r="J37" s="149"/>
      <c r="K37" s="150"/>
    </row>
    <row r="38" spans="1:11" ht="12.75">
      <c r="A38" s="1" t="s">
        <v>20</v>
      </c>
      <c r="B38" s="38">
        <f>+B37*B36</f>
        <v>127.296</v>
      </c>
      <c r="C38" s="2" t="s">
        <v>17</v>
      </c>
      <c r="D38" s="3">
        <f>B38*25.4*25.4</f>
        <v>82126.28736</v>
      </c>
      <c r="E38" s="7" t="s">
        <v>18</v>
      </c>
      <c r="F38" s="148" t="s">
        <v>21</v>
      </c>
      <c r="G38" s="149"/>
      <c r="H38" s="149"/>
      <c r="I38" s="149"/>
      <c r="J38" s="149"/>
      <c r="K38" s="150"/>
    </row>
    <row r="39" spans="1:11" ht="12.75">
      <c r="A39" s="1" t="s">
        <v>22</v>
      </c>
      <c r="B39" s="8">
        <f>B27/B33</f>
        <v>29.053831790158853</v>
      </c>
      <c r="C39" s="2" t="s">
        <v>17</v>
      </c>
      <c r="D39" s="3">
        <f>B39*25.4*25.4</f>
        <v>18744.370117738883</v>
      </c>
      <c r="E39" s="7" t="s">
        <v>18</v>
      </c>
      <c r="F39" s="148" t="s">
        <v>23</v>
      </c>
      <c r="G39" s="149"/>
      <c r="H39" s="149"/>
      <c r="I39" s="149"/>
      <c r="J39" s="149"/>
      <c r="K39" s="150"/>
    </row>
    <row r="40" spans="1:11" ht="12.75">
      <c r="A40" s="1" t="s">
        <v>24</v>
      </c>
      <c r="B40" s="8">
        <f>B30/B34</f>
        <v>60.563710101109194</v>
      </c>
      <c r="C40" s="2" t="s">
        <v>17</v>
      </c>
      <c r="D40" s="3">
        <f>B40*25.4*25.4</f>
        <v>39073.283208831606</v>
      </c>
      <c r="E40" s="7" t="s">
        <v>18</v>
      </c>
      <c r="F40" s="148" t="s">
        <v>25</v>
      </c>
      <c r="G40" s="149"/>
      <c r="H40" s="149"/>
      <c r="I40" s="149"/>
      <c r="J40" s="149"/>
      <c r="K40" s="150"/>
    </row>
    <row r="41" spans="1:11" ht="12.75">
      <c r="A41" s="1" t="s">
        <v>26</v>
      </c>
      <c r="B41" s="39">
        <f>IF(B39&gt;B40,B39,B40)</f>
        <v>60.563710101109194</v>
      </c>
      <c r="C41" s="2" t="s">
        <v>17</v>
      </c>
      <c r="D41" s="37">
        <f>B41*25.4*25.4</f>
        <v>39073.283208831606</v>
      </c>
      <c r="E41" s="7" t="s">
        <v>18</v>
      </c>
      <c r="F41" s="148" t="s">
        <v>27</v>
      </c>
      <c r="G41" s="149"/>
      <c r="H41" s="149"/>
      <c r="I41" s="149"/>
      <c r="J41" s="149"/>
      <c r="K41" s="150"/>
    </row>
    <row r="42" spans="1:11" ht="12.75">
      <c r="A42" s="157" t="s">
        <v>362</v>
      </c>
      <c r="B42" s="158"/>
      <c r="C42" s="159" t="str">
        <f>IF(B41&lt;=B38,"A área resistente dos parafusos está OK!","Não passou!  A área resistente de parafusos é insuficiente.")</f>
        <v>A área resistente dos parafusos está OK!</v>
      </c>
      <c r="D42" s="160"/>
      <c r="E42" s="160"/>
      <c r="F42" s="160"/>
      <c r="G42" s="160"/>
      <c r="H42" s="160"/>
      <c r="I42" s="160"/>
      <c r="J42" s="160"/>
      <c r="K42" s="161"/>
    </row>
    <row r="43" spans="1:11" ht="12.75">
      <c r="A43" s="1" t="s">
        <v>28</v>
      </c>
      <c r="B43" s="3">
        <f>0.5*(B41+B38)*B34</f>
        <v>1765881.2749504265</v>
      </c>
      <c r="C43" s="2" t="s">
        <v>29</v>
      </c>
      <c r="D43" s="3">
        <f>B43*0.4535924</f>
        <v>800990.3256198239</v>
      </c>
      <c r="E43" s="7" t="s">
        <v>1</v>
      </c>
      <c r="F43" s="148" t="s">
        <v>30</v>
      </c>
      <c r="G43" s="149"/>
      <c r="H43" s="149"/>
      <c r="I43" s="149"/>
      <c r="J43" s="149"/>
      <c r="K43" s="150"/>
    </row>
    <row r="44" spans="1:11" ht="12.75">
      <c r="A44" s="1" t="s">
        <v>31</v>
      </c>
      <c r="B44" s="3">
        <f>B27</f>
        <v>339929.8319448586</v>
      </c>
      <c r="C44" s="2" t="s">
        <v>29</v>
      </c>
      <c r="D44" s="3">
        <f>B44*0.4535924</f>
        <v>154189.58830346508</v>
      </c>
      <c r="E44" s="7" t="s">
        <v>1</v>
      </c>
      <c r="F44" s="148" t="s">
        <v>361</v>
      </c>
      <c r="G44" s="149"/>
      <c r="H44" s="149"/>
      <c r="I44" s="149"/>
      <c r="J44" s="149"/>
      <c r="K44" s="150"/>
    </row>
    <row r="45" spans="1:11" ht="12.75">
      <c r="A45" s="1" t="s">
        <v>32</v>
      </c>
      <c r="B45" s="3">
        <f>IF(B43&gt;B44,B43,B44)</f>
        <v>1765881.2749504265</v>
      </c>
      <c r="C45" s="2" t="s">
        <v>29</v>
      </c>
      <c r="D45" s="3">
        <f>B45*0.4535924</f>
        <v>800990.3256198239</v>
      </c>
      <c r="E45" s="7" t="s">
        <v>1</v>
      </c>
      <c r="F45" s="148" t="s">
        <v>33</v>
      </c>
      <c r="G45" s="149"/>
      <c r="H45" s="149"/>
      <c r="I45" s="149"/>
      <c r="J45" s="149"/>
      <c r="K45" s="150"/>
    </row>
    <row r="46" spans="1:11" ht="12.75">
      <c r="A46" s="154" t="s">
        <v>86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6"/>
    </row>
    <row r="47" spans="1:11" ht="12.75">
      <c r="A47" s="162" t="s">
        <v>87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4"/>
    </row>
    <row r="48" spans="1:11" ht="12.75">
      <c r="A48" s="165" t="s">
        <v>88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7"/>
    </row>
    <row r="49" spans="1:11" ht="12.75">
      <c r="A49" s="165" t="s">
        <v>89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7"/>
    </row>
    <row r="50" spans="1:11" ht="12.75">
      <c r="A50" s="168" t="s">
        <v>90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70"/>
    </row>
    <row r="51" spans="1:11" ht="12.75">
      <c r="A51" s="12" t="s">
        <v>91</v>
      </c>
      <c r="B51" s="25" t="s">
        <v>92</v>
      </c>
      <c r="C51" s="171" t="s">
        <v>93</v>
      </c>
      <c r="D51" s="172"/>
      <c r="E51" s="172"/>
      <c r="F51" s="172"/>
      <c r="G51" s="172"/>
      <c r="H51" s="172"/>
      <c r="I51" s="172"/>
      <c r="J51" s="172"/>
      <c r="K51" s="173"/>
    </row>
    <row r="52" spans="1:11" ht="18" customHeight="1">
      <c r="A52" s="10" t="s">
        <v>94</v>
      </c>
      <c r="B52" s="28">
        <f>68.1/25.4</f>
        <v>2.6811023622047245</v>
      </c>
      <c r="C52" s="2" t="s">
        <v>47</v>
      </c>
      <c r="D52" s="3">
        <f aca="true" t="shared" si="0" ref="D52:D59">B52*25.4</f>
        <v>68.1</v>
      </c>
      <c r="E52" s="7" t="s">
        <v>2</v>
      </c>
      <c r="F52" s="174" t="s">
        <v>95</v>
      </c>
      <c r="G52" s="175"/>
      <c r="H52" s="175"/>
      <c r="I52" s="175"/>
      <c r="J52" s="175"/>
      <c r="K52" s="176"/>
    </row>
    <row r="53" spans="1:11" ht="12.75">
      <c r="A53" s="10" t="s">
        <v>96</v>
      </c>
      <c r="B53" s="28">
        <f>59.7/25.4</f>
        <v>2.350393700787402</v>
      </c>
      <c r="C53" s="2" t="s">
        <v>47</v>
      </c>
      <c r="D53" s="3">
        <f t="shared" si="0"/>
        <v>59.7</v>
      </c>
      <c r="E53" s="7" t="s">
        <v>2</v>
      </c>
      <c r="F53" s="174" t="s">
        <v>97</v>
      </c>
      <c r="G53" s="175"/>
      <c r="H53" s="175"/>
      <c r="I53" s="175"/>
      <c r="J53" s="175"/>
      <c r="K53" s="176"/>
    </row>
    <row r="54" spans="1:11" ht="12.75">
      <c r="A54" s="10" t="s">
        <v>98</v>
      </c>
      <c r="B54" s="28">
        <f>25/25.4</f>
        <v>0.984251968503937</v>
      </c>
      <c r="C54" s="13" t="s">
        <v>47</v>
      </c>
      <c r="D54" s="3">
        <f t="shared" si="0"/>
        <v>25</v>
      </c>
      <c r="E54" s="7" t="s">
        <v>2</v>
      </c>
      <c r="F54" s="177" t="s">
        <v>99</v>
      </c>
      <c r="G54" s="178"/>
      <c r="H54" s="178"/>
      <c r="I54" s="178"/>
      <c r="J54" s="178"/>
      <c r="K54" s="179"/>
    </row>
    <row r="55" spans="1:11" ht="12.75">
      <c r="A55" s="10" t="s">
        <v>100</v>
      </c>
      <c r="B55" s="28">
        <f>2155.6/25.4</f>
        <v>84.86614173228347</v>
      </c>
      <c r="C55" s="2" t="s">
        <v>47</v>
      </c>
      <c r="D55" s="3">
        <f t="shared" si="0"/>
        <v>2155.6</v>
      </c>
      <c r="E55" s="7" t="s">
        <v>2</v>
      </c>
      <c r="F55" s="174" t="s">
        <v>101</v>
      </c>
      <c r="G55" s="175"/>
      <c r="H55" s="175"/>
      <c r="I55" s="175"/>
      <c r="J55" s="175"/>
      <c r="K55" s="176"/>
    </row>
    <row r="56" spans="1:11" ht="12.75">
      <c r="A56" s="10" t="s">
        <v>102</v>
      </c>
      <c r="B56" s="28">
        <f>1900/25.4</f>
        <v>74.80314960629921</v>
      </c>
      <c r="C56" s="2" t="s">
        <v>47</v>
      </c>
      <c r="D56" s="3">
        <f t="shared" si="0"/>
        <v>1900</v>
      </c>
      <c r="E56" s="7" t="s">
        <v>2</v>
      </c>
      <c r="F56" s="174" t="s">
        <v>103</v>
      </c>
      <c r="G56" s="175"/>
      <c r="H56" s="175"/>
      <c r="I56" s="175"/>
      <c r="J56" s="175"/>
      <c r="K56" s="176"/>
    </row>
    <row r="57" spans="1:11" ht="12.75">
      <c r="A57" s="10" t="s">
        <v>104</v>
      </c>
      <c r="B57" s="28">
        <f>2293/25.4</f>
        <v>90.27559055118111</v>
      </c>
      <c r="C57" s="2" t="s">
        <v>47</v>
      </c>
      <c r="D57" s="3">
        <f t="shared" si="0"/>
        <v>2293</v>
      </c>
      <c r="E57" s="7" t="s">
        <v>2</v>
      </c>
      <c r="F57" s="174" t="s">
        <v>105</v>
      </c>
      <c r="G57" s="175"/>
      <c r="H57" s="175"/>
      <c r="I57" s="175"/>
      <c r="J57" s="175"/>
      <c r="K57" s="176"/>
    </row>
    <row r="58" spans="1:11" ht="12.75">
      <c r="A58" s="10" t="s">
        <v>106</v>
      </c>
      <c r="B58" s="28">
        <f>166/25.4</f>
        <v>6.535433070866142</v>
      </c>
      <c r="C58" s="2" t="s">
        <v>47</v>
      </c>
      <c r="D58" s="3">
        <f t="shared" si="0"/>
        <v>166</v>
      </c>
      <c r="E58" s="7" t="s">
        <v>2</v>
      </c>
      <c r="F58" s="174" t="s">
        <v>107</v>
      </c>
      <c r="G58" s="175"/>
      <c r="H58" s="175"/>
      <c r="I58" s="175"/>
      <c r="J58" s="175"/>
      <c r="K58" s="176"/>
    </row>
    <row r="59" spans="1:11" ht="12.75">
      <c r="A59" s="10" t="s">
        <v>108</v>
      </c>
      <c r="B59" s="14">
        <f>(B56*B54)^0.5</f>
        <v>8.580509731379278</v>
      </c>
      <c r="C59" s="2" t="s">
        <v>47</v>
      </c>
      <c r="D59" s="3">
        <f t="shared" si="0"/>
        <v>217.94494717703364</v>
      </c>
      <c r="E59" s="7" t="s">
        <v>2</v>
      </c>
      <c r="F59" s="174" t="s">
        <v>109</v>
      </c>
      <c r="G59" s="175"/>
      <c r="H59" s="175"/>
      <c r="I59" s="175"/>
      <c r="J59" s="175"/>
      <c r="K59" s="176"/>
    </row>
    <row r="60" spans="1:11" ht="12.75">
      <c r="A60" s="10" t="s">
        <v>110</v>
      </c>
      <c r="B60" s="14">
        <f>IF(B51="a",(B208/B59),(B209/B59))</f>
        <v>0.08817903415885886</v>
      </c>
      <c r="C60" s="2" t="s">
        <v>111</v>
      </c>
      <c r="D60" s="3">
        <f>B60/25.4</f>
        <v>0.0034716155180653098</v>
      </c>
      <c r="E60" s="7" t="s">
        <v>112</v>
      </c>
      <c r="F60" s="174" t="s">
        <v>113</v>
      </c>
      <c r="G60" s="175"/>
      <c r="H60" s="175"/>
      <c r="I60" s="175"/>
      <c r="J60" s="175"/>
      <c r="K60" s="176"/>
    </row>
    <row r="61" spans="1:11" ht="12.75">
      <c r="A61" s="10" t="s">
        <v>114</v>
      </c>
      <c r="B61" s="28">
        <f>(180-31)/25.4</f>
        <v>5.866141732283465</v>
      </c>
      <c r="C61" s="2" t="s">
        <v>47</v>
      </c>
      <c r="D61" s="3">
        <f>B61*25.4</f>
        <v>149</v>
      </c>
      <c r="E61" s="7" t="s">
        <v>2</v>
      </c>
      <c r="F61" s="174" t="s">
        <v>115</v>
      </c>
      <c r="G61" s="175"/>
      <c r="H61" s="175"/>
      <c r="I61" s="175"/>
      <c r="J61" s="175"/>
      <c r="K61" s="176"/>
    </row>
    <row r="62" spans="1:11" ht="12.75">
      <c r="A62" s="10"/>
      <c r="B62" s="25" t="s">
        <v>116</v>
      </c>
      <c r="C62" s="2" t="s">
        <v>117</v>
      </c>
      <c r="D62" s="3" t="s">
        <v>117</v>
      </c>
      <c r="E62" s="7" t="s">
        <v>117</v>
      </c>
      <c r="F62" s="174" t="s">
        <v>118</v>
      </c>
      <c r="G62" s="175"/>
      <c r="H62" s="175"/>
      <c r="I62" s="175"/>
      <c r="J62" s="175"/>
      <c r="K62" s="176"/>
    </row>
    <row r="63" spans="1:11" ht="12.75">
      <c r="A63" s="10" t="s">
        <v>119</v>
      </c>
      <c r="B63" s="28">
        <v>28000000</v>
      </c>
      <c r="C63" s="2" t="s">
        <v>0</v>
      </c>
      <c r="D63" s="3">
        <f>B63*6.894757</f>
        <v>193053196</v>
      </c>
      <c r="E63" s="7" t="s">
        <v>120</v>
      </c>
      <c r="F63" s="174" t="s">
        <v>121</v>
      </c>
      <c r="G63" s="175"/>
      <c r="H63" s="175"/>
      <c r="I63" s="175"/>
      <c r="J63" s="175"/>
      <c r="K63" s="176"/>
    </row>
    <row r="64" spans="1:11" ht="12.75">
      <c r="A64" s="10" t="s">
        <v>122</v>
      </c>
      <c r="B64" s="28">
        <v>2300</v>
      </c>
      <c r="C64" s="2" t="s">
        <v>0</v>
      </c>
      <c r="D64" s="3">
        <f>B64*6.894757</f>
        <v>15857.9411</v>
      </c>
      <c r="E64" s="7" t="s">
        <v>9</v>
      </c>
      <c r="F64" s="174" t="s">
        <v>123</v>
      </c>
      <c r="G64" s="175"/>
      <c r="H64" s="175"/>
      <c r="I64" s="175"/>
      <c r="J64" s="175"/>
      <c r="K64" s="176"/>
    </row>
    <row r="65" spans="1:11" ht="12.75">
      <c r="A65" s="10" t="s">
        <v>124</v>
      </c>
      <c r="B65" s="28">
        <v>20000</v>
      </c>
      <c r="C65" s="2" t="s">
        <v>0</v>
      </c>
      <c r="D65" s="3">
        <f>B65*6.894757</f>
        <v>137895.14</v>
      </c>
      <c r="E65" s="7" t="s">
        <v>9</v>
      </c>
      <c r="F65" s="174" t="s">
        <v>125</v>
      </c>
      <c r="G65" s="175"/>
      <c r="H65" s="175"/>
      <c r="I65" s="175"/>
      <c r="J65" s="175"/>
      <c r="K65" s="176"/>
    </row>
    <row r="66" spans="1:11" ht="12.75">
      <c r="A66" s="10"/>
      <c r="B66" s="25" t="s">
        <v>126</v>
      </c>
      <c r="C66" s="2" t="s">
        <v>117</v>
      </c>
      <c r="D66" s="3" t="s">
        <v>117</v>
      </c>
      <c r="E66" s="7" t="s">
        <v>117</v>
      </c>
      <c r="F66" s="174" t="s">
        <v>127</v>
      </c>
      <c r="G66" s="175"/>
      <c r="H66" s="175"/>
      <c r="I66" s="175"/>
      <c r="J66" s="175"/>
      <c r="K66" s="176"/>
    </row>
    <row r="67" spans="1:11" ht="12.75">
      <c r="A67" s="10" t="s">
        <v>128</v>
      </c>
      <c r="B67" s="28">
        <v>2300</v>
      </c>
      <c r="C67" s="2" t="s">
        <v>0</v>
      </c>
      <c r="D67" s="3">
        <f>B67*6.894757</f>
        <v>15857.9411</v>
      </c>
      <c r="E67" s="7" t="s">
        <v>9</v>
      </c>
      <c r="F67" s="174" t="s">
        <v>129</v>
      </c>
      <c r="G67" s="175"/>
      <c r="H67" s="175"/>
      <c r="I67" s="175"/>
      <c r="J67" s="175"/>
      <c r="K67" s="176"/>
    </row>
    <row r="68" spans="1:11" ht="12.75">
      <c r="A68" s="10" t="s">
        <v>130</v>
      </c>
      <c r="B68" s="28">
        <v>20000</v>
      </c>
      <c r="C68" s="2" t="s">
        <v>0</v>
      </c>
      <c r="D68" s="3">
        <f>B68*6.894757</f>
        <v>137895.14</v>
      </c>
      <c r="E68" s="7" t="s">
        <v>9</v>
      </c>
      <c r="F68" s="174" t="s">
        <v>131</v>
      </c>
      <c r="G68" s="175"/>
      <c r="H68" s="175"/>
      <c r="I68" s="175"/>
      <c r="J68" s="175"/>
      <c r="K68" s="176"/>
    </row>
    <row r="69" spans="1:11" ht="12.75">
      <c r="A69" s="10" t="s">
        <v>132</v>
      </c>
      <c r="B69" s="14">
        <f>IF(B51="a",(B52+(0.5*B53)),IF(B51="b",((B55-B56)/2),IF(B51="c",((B55-B56)/2))))</f>
        <v>3.8562992125984255</v>
      </c>
      <c r="C69" s="2" t="s">
        <v>47</v>
      </c>
      <c r="D69" s="3">
        <f>B69*25.4</f>
        <v>97.95</v>
      </c>
      <c r="E69" s="7" t="s">
        <v>2</v>
      </c>
      <c r="F69" s="174" t="s">
        <v>133</v>
      </c>
      <c r="G69" s="175"/>
      <c r="H69" s="175"/>
      <c r="I69" s="175"/>
      <c r="J69" s="175"/>
      <c r="K69" s="176"/>
    </row>
    <row r="70" spans="1:11" ht="12.75">
      <c r="A70" s="10" t="s">
        <v>134</v>
      </c>
      <c r="B70" s="14">
        <f>IF(B51="a",((B52+B53+B71)/2),IF(B51="b",((B69+B71)/2),IF(B51="c",((B55-B24)/2))))</f>
        <v>4.205430109573289</v>
      </c>
      <c r="C70" s="2" t="s">
        <v>47</v>
      </c>
      <c r="D70" s="3">
        <f>B70*25.4</f>
        <v>106.81792478316153</v>
      </c>
      <c r="E70" s="7" t="s">
        <v>2</v>
      </c>
      <c r="F70" s="174" t="s">
        <v>135</v>
      </c>
      <c r="G70" s="175"/>
      <c r="H70" s="175"/>
      <c r="I70" s="175"/>
      <c r="J70" s="175"/>
      <c r="K70" s="176"/>
    </row>
    <row r="71" spans="1:11" ht="12.75">
      <c r="A71" s="10" t="s">
        <v>136</v>
      </c>
      <c r="B71" s="14">
        <f>(B55-B24)/2</f>
        <v>3.379364156154452</v>
      </c>
      <c r="C71" s="2" t="s">
        <v>47</v>
      </c>
      <c r="D71" s="3">
        <f>B71*25.4</f>
        <v>85.83584956632308</v>
      </c>
      <c r="E71" s="7" t="s">
        <v>2</v>
      </c>
      <c r="F71" s="174" t="s">
        <v>137</v>
      </c>
      <c r="G71" s="175"/>
      <c r="H71" s="175"/>
      <c r="I71" s="175"/>
      <c r="J71" s="175"/>
      <c r="K71" s="176"/>
    </row>
    <row r="72" spans="1:11" ht="12.75">
      <c r="A72" s="180" t="s">
        <v>138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2"/>
    </row>
    <row r="73" spans="1:11" ht="12.75">
      <c r="A73" s="10" t="s">
        <v>139</v>
      </c>
      <c r="B73" s="15">
        <f>3.1416*(B56^2)/4*B20</f>
        <v>285206.27800407837</v>
      </c>
      <c r="C73" s="2" t="s">
        <v>29</v>
      </c>
      <c r="D73" s="3">
        <f>B73*0.4535924</f>
        <v>129367.40013493712</v>
      </c>
      <c r="E73" s="7" t="s">
        <v>1</v>
      </c>
      <c r="F73" s="174" t="s">
        <v>140</v>
      </c>
      <c r="G73" s="175"/>
      <c r="H73" s="175"/>
      <c r="I73" s="175"/>
      <c r="J73" s="175"/>
      <c r="K73" s="176"/>
    </row>
    <row r="74" spans="1:11" ht="12.75">
      <c r="A74" s="10" t="s">
        <v>141</v>
      </c>
      <c r="B74" s="15">
        <f>B25-B73</f>
        <v>25594.84858672769</v>
      </c>
      <c r="C74" s="2" t="s">
        <v>29</v>
      </c>
      <c r="D74" s="3">
        <f>B74*0.4535924</f>
        <v>11609.628798090422</v>
      </c>
      <c r="E74" s="7" t="s">
        <v>1</v>
      </c>
      <c r="F74" s="174" t="s">
        <v>142</v>
      </c>
      <c r="G74" s="175"/>
      <c r="H74" s="175"/>
      <c r="I74" s="175"/>
      <c r="J74" s="175"/>
      <c r="K74" s="176"/>
    </row>
    <row r="75" spans="1:11" ht="21" customHeight="1">
      <c r="A75" s="10" t="s">
        <v>143</v>
      </c>
      <c r="B75" s="15">
        <f>B44-B25</f>
        <v>29128.705354052538</v>
      </c>
      <c r="C75" s="2" t="s">
        <v>29</v>
      </c>
      <c r="D75" s="3">
        <f>B75*0.4535924</f>
        <v>13212.55937043754</v>
      </c>
      <c r="E75" s="7" t="s">
        <v>1</v>
      </c>
      <c r="F75" s="174" t="s">
        <v>144</v>
      </c>
      <c r="G75" s="175"/>
      <c r="H75" s="175"/>
      <c r="I75" s="175"/>
      <c r="J75" s="175"/>
      <c r="K75" s="176"/>
    </row>
    <row r="76" spans="1:11" ht="12.75">
      <c r="A76" s="10" t="s">
        <v>145</v>
      </c>
      <c r="B76" s="15">
        <f>B73*B69</f>
        <v>1099840.745295255</v>
      </c>
      <c r="C76" s="2" t="s">
        <v>56</v>
      </c>
      <c r="D76" s="3">
        <f>B76*0.1152124</f>
        <v>126715.29188325503</v>
      </c>
      <c r="E76" s="7" t="s">
        <v>57</v>
      </c>
      <c r="F76" s="174" t="s">
        <v>146</v>
      </c>
      <c r="G76" s="175"/>
      <c r="H76" s="175"/>
      <c r="I76" s="175"/>
      <c r="J76" s="175"/>
      <c r="K76" s="176"/>
    </row>
    <row r="77" spans="1:11" ht="12.75">
      <c r="A77" s="10" t="s">
        <v>147</v>
      </c>
      <c r="B77" s="15">
        <f>B74*B70</f>
        <v>107637.34689659397</v>
      </c>
      <c r="C77" s="2" t="s">
        <v>56</v>
      </c>
      <c r="D77" s="3">
        <f>B77*0.1152124</f>
        <v>12401.157065589143</v>
      </c>
      <c r="E77" s="7" t="s">
        <v>57</v>
      </c>
      <c r="F77" s="174" t="s">
        <v>148</v>
      </c>
      <c r="G77" s="175"/>
      <c r="H77" s="175"/>
      <c r="I77" s="175"/>
      <c r="J77" s="175"/>
      <c r="K77" s="176"/>
    </row>
    <row r="78" spans="1:11" ht="12.75">
      <c r="A78" s="10" t="s">
        <v>149</v>
      </c>
      <c r="B78" s="15">
        <f>B75*B71</f>
        <v>98436.50278866942</v>
      </c>
      <c r="C78" s="2" t="s">
        <v>56</v>
      </c>
      <c r="D78" s="3">
        <f>B78*0.1152124</f>
        <v>11341.105733889297</v>
      </c>
      <c r="E78" s="7" t="s">
        <v>57</v>
      </c>
      <c r="F78" s="174" t="s">
        <v>150</v>
      </c>
      <c r="G78" s="175"/>
      <c r="H78" s="175"/>
      <c r="I78" s="175"/>
      <c r="J78" s="175"/>
      <c r="K78" s="176"/>
    </row>
    <row r="79" spans="1:11" ht="12.75">
      <c r="A79" s="10" t="s">
        <v>151</v>
      </c>
      <c r="B79" s="15">
        <f>SUM(B76:B78)</f>
        <v>1305914.5949805183</v>
      </c>
      <c r="C79" s="2" t="s">
        <v>56</v>
      </c>
      <c r="D79" s="3">
        <f>B79*0.1152124</f>
        <v>150457.5546827335</v>
      </c>
      <c r="E79" s="7" t="s">
        <v>57</v>
      </c>
      <c r="F79" s="174" t="s">
        <v>152</v>
      </c>
      <c r="G79" s="175"/>
      <c r="H79" s="175"/>
      <c r="I79" s="175"/>
      <c r="J79" s="175"/>
      <c r="K79" s="176"/>
    </row>
    <row r="80" spans="1:11" ht="12.75">
      <c r="A80" s="10" t="s">
        <v>153</v>
      </c>
      <c r="B80" s="32">
        <f>IF(B51="a",(B211*B79)/(B221*(B53^2)*B56),0)</f>
        <v>2819.1311246216274</v>
      </c>
      <c r="C80" s="13" t="s">
        <v>0</v>
      </c>
      <c r="D80" s="3">
        <f>B80*6.894757</f>
        <v>19437.22405540284</v>
      </c>
      <c r="E80" s="7" t="s">
        <v>9</v>
      </c>
      <c r="F80" s="174" t="s">
        <v>154</v>
      </c>
      <c r="G80" s="175"/>
      <c r="H80" s="175"/>
      <c r="I80" s="175"/>
      <c r="J80" s="175"/>
      <c r="K80" s="176"/>
    </row>
    <row r="81" spans="1:11" ht="12.75">
      <c r="A81" s="10" t="s">
        <v>155</v>
      </c>
      <c r="B81" s="32">
        <f>IF(B51="a",(((1.33*B61*B60)+1)*B79)/(B221*(B61^2)*B56),0)</f>
        <v>763.9345248235605</v>
      </c>
      <c r="C81" s="13" t="s">
        <v>0</v>
      </c>
      <c r="D81" s="3">
        <f>B81*6.894757</f>
        <v>5267.142912568918</v>
      </c>
      <c r="E81" s="7" t="s">
        <v>9</v>
      </c>
      <c r="F81" s="174" t="s">
        <v>156</v>
      </c>
      <c r="G81" s="175"/>
      <c r="H81" s="175"/>
      <c r="I81" s="175"/>
      <c r="J81" s="175"/>
      <c r="K81" s="176"/>
    </row>
    <row r="82" spans="1:11" ht="21" customHeight="1">
      <c r="A82" s="10" t="s">
        <v>157</v>
      </c>
      <c r="B82" s="33">
        <f>IF(B51="a",((B215*B79)/((B61^2)*B56))-(B216*B81),(B215*B79)/((B61^2)*B56))</f>
        <v>1181.5342591472172</v>
      </c>
      <c r="C82" s="13" t="s">
        <v>0</v>
      </c>
      <c r="D82" s="3">
        <f>B82*6.894757</f>
        <v>8146.39160399509</v>
      </c>
      <c r="E82" s="7" t="s">
        <v>9</v>
      </c>
      <c r="F82" s="174" t="s">
        <v>158</v>
      </c>
      <c r="G82" s="175"/>
      <c r="H82" s="175"/>
      <c r="I82" s="175"/>
      <c r="J82" s="175"/>
      <c r="K82" s="176"/>
    </row>
    <row r="83" spans="1:11" ht="12.75">
      <c r="A83" s="183" t="s">
        <v>159</v>
      </c>
      <c r="B83" s="184"/>
      <c r="C83" s="185">
        <f>(B80+B81)/2</f>
        <v>1791.532824722594</v>
      </c>
      <c r="D83" s="185"/>
      <c r="E83" s="17" t="s">
        <v>0</v>
      </c>
      <c r="F83" s="16">
        <f>C83*6.894757</f>
        <v>12352.183483985878</v>
      </c>
      <c r="G83" s="17" t="s">
        <v>9</v>
      </c>
      <c r="H83" s="177" t="s">
        <v>160</v>
      </c>
      <c r="I83" s="178"/>
      <c r="J83" s="178"/>
      <c r="K83" s="179"/>
    </row>
    <row r="84" spans="1:11" ht="12.75">
      <c r="A84" s="183" t="s">
        <v>161</v>
      </c>
      <c r="B84" s="184"/>
      <c r="C84" s="185">
        <f>(B80+B82)/2</f>
        <v>2000.3326918844223</v>
      </c>
      <c r="D84" s="185"/>
      <c r="E84" s="17" t="s">
        <v>0</v>
      </c>
      <c r="F84" s="16">
        <f>C84*6.894757</f>
        <v>13791.807829698964</v>
      </c>
      <c r="G84" s="17" t="s">
        <v>9</v>
      </c>
      <c r="H84" s="177" t="s">
        <v>160</v>
      </c>
      <c r="I84" s="178"/>
      <c r="J84" s="178"/>
      <c r="K84" s="179"/>
    </row>
    <row r="85" spans="1:11" ht="12.75">
      <c r="A85" s="180" t="s">
        <v>162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7"/>
    </row>
    <row r="86" spans="1:11" ht="12.75">
      <c r="A86" s="188" t="s">
        <v>163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2"/>
    </row>
    <row r="87" spans="1:11" ht="12.75">
      <c r="A87" s="188" t="s">
        <v>164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2"/>
    </row>
    <row r="88" spans="1:11" ht="12.75">
      <c r="A88" s="188" t="s">
        <v>165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2"/>
    </row>
    <row r="89" spans="1:11" ht="12.75">
      <c r="A89" s="188" t="s">
        <v>166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2"/>
    </row>
    <row r="90" spans="1:11" ht="12.75">
      <c r="A90" s="188" t="s">
        <v>167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2"/>
    </row>
    <row r="91" spans="1:11" ht="12.75">
      <c r="A91" s="183" t="s">
        <v>168</v>
      </c>
      <c r="B91" s="184"/>
      <c r="C91" s="29">
        <v>1</v>
      </c>
      <c r="D91" s="189" t="s">
        <v>169</v>
      </c>
      <c r="E91" s="189"/>
      <c r="F91" s="189"/>
      <c r="G91" s="189"/>
      <c r="H91" s="189"/>
      <c r="I91" s="189"/>
      <c r="J91" s="189"/>
      <c r="K91" s="190"/>
    </row>
    <row r="92" spans="1:11" ht="31.5" customHeight="1">
      <c r="A92" s="183" t="s">
        <v>170</v>
      </c>
      <c r="B92" s="184"/>
      <c r="C92" s="191">
        <f>IF(C91=1,MIN(1.5*B64,2.5*B67),IF(C91=2,MIN(1.5*B64,1.5*B67),IF(C91=3,MIN(1.5*B64,1.5*B67),IF(C91=4,"Não há tensão longitudinal"," "))))</f>
        <v>3450</v>
      </c>
      <c r="D92" s="191"/>
      <c r="E92" s="17" t="s">
        <v>0</v>
      </c>
      <c r="F92" s="18">
        <f>C92*6.894757</f>
        <v>23786.911650000002</v>
      </c>
      <c r="G92" s="17" t="s">
        <v>120</v>
      </c>
      <c r="H92" s="177" t="s">
        <v>171</v>
      </c>
      <c r="I92" s="178"/>
      <c r="J92" s="178"/>
      <c r="K92" s="179"/>
    </row>
    <row r="93" spans="1:11" ht="15.75" customHeight="1">
      <c r="A93" s="183" t="s">
        <v>172</v>
      </c>
      <c r="B93" s="184"/>
      <c r="C93" s="192">
        <f>IF(C91=4,"Não há tensão radial",B64)</f>
        <v>2300</v>
      </c>
      <c r="D93" s="193"/>
      <c r="E93" s="17" t="s">
        <v>0</v>
      </c>
      <c r="F93" s="18">
        <f>C93*6.894757</f>
        <v>15857.9411</v>
      </c>
      <c r="G93" s="7" t="s">
        <v>120</v>
      </c>
      <c r="H93" s="177" t="s">
        <v>122</v>
      </c>
      <c r="I93" s="178"/>
      <c r="J93" s="178"/>
      <c r="K93" s="179"/>
    </row>
    <row r="94" spans="1:11" ht="17.25" customHeight="1">
      <c r="A94" s="183" t="s">
        <v>173</v>
      </c>
      <c r="B94" s="184"/>
      <c r="C94" s="194">
        <f>B64</f>
        <v>2300</v>
      </c>
      <c r="D94" s="194"/>
      <c r="E94" s="17" t="s">
        <v>0</v>
      </c>
      <c r="F94" s="18">
        <f>C94*6.894757</f>
        <v>15857.9411</v>
      </c>
      <c r="G94" s="7" t="s">
        <v>120</v>
      </c>
      <c r="H94" s="177" t="s">
        <v>122</v>
      </c>
      <c r="I94" s="178"/>
      <c r="J94" s="178"/>
      <c r="K94" s="179"/>
    </row>
    <row r="95" spans="1:11" ht="12.75">
      <c r="A95" s="195" t="s">
        <v>174</v>
      </c>
      <c r="B95" s="196"/>
      <c r="C95" s="201" t="str">
        <f>IF(B80&lt;=C92,"A tensão longitudinal está Ok","A tensão longitudinal não passou")</f>
        <v>A tensão longitudinal está Ok</v>
      </c>
      <c r="D95" s="202"/>
      <c r="E95" s="202"/>
      <c r="F95" s="202"/>
      <c r="G95" s="202"/>
      <c r="H95" s="202"/>
      <c r="I95" s="202"/>
      <c r="J95" s="202"/>
      <c r="K95" s="203"/>
    </row>
    <row r="96" spans="1:11" ht="12.75">
      <c r="A96" s="197"/>
      <c r="B96" s="198"/>
      <c r="C96" s="201" t="str">
        <f>IF(B81&lt;=C93,"A tensão radial está Ok","A tensão radial não passou")</f>
        <v>A tensão radial está Ok</v>
      </c>
      <c r="D96" s="202"/>
      <c r="E96" s="202"/>
      <c r="F96" s="202"/>
      <c r="G96" s="202"/>
      <c r="H96" s="202"/>
      <c r="I96" s="202"/>
      <c r="J96" s="202"/>
      <c r="K96" s="203"/>
    </row>
    <row r="97" spans="1:11" ht="12.75">
      <c r="A97" s="197"/>
      <c r="B97" s="198"/>
      <c r="C97" s="201" t="str">
        <f>IF(B82&lt;=C94,"A tensão tangencial está Ok","A tensão tangencial não passou")</f>
        <v>A tensão tangencial está Ok</v>
      </c>
      <c r="D97" s="202"/>
      <c r="E97" s="202"/>
      <c r="F97" s="202"/>
      <c r="G97" s="202"/>
      <c r="H97" s="202"/>
      <c r="I97" s="202"/>
      <c r="J97" s="202"/>
      <c r="K97" s="203"/>
    </row>
    <row r="98" spans="1:11" ht="12.75">
      <c r="A98" s="197"/>
      <c r="B98" s="198"/>
      <c r="C98" s="201" t="str">
        <f>IF(C83&lt;=B64,"Ok, ((SHO+SRO)/2) é menor do que Sfp","Não passou: ((SHO+SRO)/2) é maior do que Sfp")</f>
        <v>Ok, ((SHO+SRO)/2) é menor do que Sfp</v>
      </c>
      <c r="D98" s="202"/>
      <c r="E98" s="202"/>
      <c r="F98" s="202"/>
      <c r="G98" s="202"/>
      <c r="H98" s="202"/>
      <c r="I98" s="202"/>
      <c r="J98" s="202"/>
      <c r="K98" s="203"/>
    </row>
    <row r="99" spans="1:11" ht="12.75">
      <c r="A99" s="199"/>
      <c r="B99" s="200"/>
      <c r="C99" s="201" t="str">
        <f>IF(C84&lt;=B64,"Ok, ((SHO+STO)/2) é menor do que Sfp","Não passou: ((SHO+STO)/2) é mairo do que Sfp")</f>
        <v>Ok, ((SHO+STO)/2) é menor do que Sfp</v>
      </c>
      <c r="D99" s="202"/>
      <c r="E99" s="202"/>
      <c r="F99" s="202"/>
      <c r="G99" s="202"/>
      <c r="H99" s="202"/>
      <c r="I99" s="202"/>
      <c r="J99" s="202"/>
      <c r="K99" s="203"/>
    </row>
    <row r="100" spans="1:11" ht="12.75">
      <c r="A100" s="180" t="s">
        <v>175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2"/>
    </row>
    <row r="101" spans="1:11" ht="12.75">
      <c r="A101" s="10" t="s">
        <v>176</v>
      </c>
      <c r="B101" s="15">
        <f>B43*(B55-B24)/2</f>
        <v>5967555.8845917955</v>
      </c>
      <c r="C101" s="2" t="s">
        <v>56</v>
      </c>
      <c r="D101" s="16">
        <f>B101*0.1152124</f>
        <v>687536.4355979438</v>
      </c>
      <c r="E101" s="7" t="s">
        <v>57</v>
      </c>
      <c r="F101" s="174" t="s">
        <v>177</v>
      </c>
      <c r="G101" s="175"/>
      <c r="H101" s="175"/>
      <c r="I101" s="175"/>
      <c r="J101" s="175"/>
      <c r="K101" s="176"/>
    </row>
    <row r="102" spans="1:11" ht="12.75">
      <c r="A102" s="10" t="s">
        <v>178</v>
      </c>
      <c r="B102" s="32">
        <f>IF(B51="a",(B211*B101)/(B221*(B53^2)*B56),0)</f>
        <v>12882.40639689202</v>
      </c>
      <c r="C102" s="13" t="s">
        <v>0</v>
      </c>
      <c r="D102" s="16">
        <f>B102*6.894757</f>
        <v>88821.06168181603</v>
      </c>
      <c r="E102" s="7" t="s">
        <v>120</v>
      </c>
      <c r="F102" s="174" t="s">
        <v>179</v>
      </c>
      <c r="G102" s="175"/>
      <c r="H102" s="175"/>
      <c r="I102" s="175"/>
      <c r="J102" s="175"/>
      <c r="K102" s="176"/>
    </row>
    <row r="103" spans="1:11" ht="12.75">
      <c r="A103" s="10" t="s">
        <v>180</v>
      </c>
      <c r="B103" s="32">
        <f>IF(B51="a",(((1.33*B61*B60)+1)*B101)/(B221*(B61^2)*B56),0)</f>
        <v>3490.9036062359687</v>
      </c>
      <c r="C103" s="13" t="s">
        <v>0</v>
      </c>
      <c r="D103" s="16">
        <f>B103*6.894757</f>
        <v>24068.93207542069</v>
      </c>
      <c r="E103" s="7" t="s">
        <v>120</v>
      </c>
      <c r="F103" s="174" t="s">
        <v>181</v>
      </c>
      <c r="G103" s="175"/>
      <c r="H103" s="175"/>
      <c r="I103" s="175"/>
      <c r="J103" s="175"/>
      <c r="K103" s="176"/>
    </row>
    <row r="104" spans="1:11" ht="24.75" customHeight="1">
      <c r="A104" s="10" t="s">
        <v>182</v>
      </c>
      <c r="B104" s="33">
        <f>IF(B51="a",((B215*B101)/((B61^2)*B56))-(B216*B103),(B215*B101)/((B61^2)*B56))</f>
        <v>5399.1828777485825</v>
      </c>
      <c r="C104" s="13" t="s">
        <v>0</v>
      </c>
      <c r="D104" s="16">
        <f>B104*6.894757</f>
        <v>37226.05394063718</v>
      </c>
      <c r="E104" s="7" t="s">
        <v>120</v>
      </c>
      <c r="F104" s="174" t="s">
        <v>183</v>
      </c>
      <c r="G104" s="175"/>
      <c r="H104" s="175"/>
      <c r="I104" s="175"/>
      <c r="J104" s="175"/>
      <c r="K104" s="176"/>
    </row>
    <row r="105" spans="1:11" ht="12.75">
      <c r="A105" s="183" t="s">
        <v>184</v>
      </c>
      <c r="B105" s="184"/>
      <c r="C105" s="204">
        <f>(B102+B103)/2</f>
        <v>8186.655001563994</v>
      </c>
      <c r="D105" s="205"/>
      <c r="E105" s="17" t="s">
        <v>0</v>
      </c>
      <c r="F105" s="3">
        <f>C105*6.894757</f>
        <v>56444.99687861836</v>
      </c>
      <c r="G105" s="7" t="s">
        <v>120</v>
      </c>
      <c r="H105" s="177" t="s">
        <v>185</v>
      </c>
      <c r="I105" s="178"/>
      <c r="J105" s="178"/>
      <c r="K105" s="179"/>
    </row>
    <row r="106" spans="1:11" ht="12.75">
      <c r="A106" s="183" t="s">
        <v>186</v>
      </c>
      <c r="B106" s="184"/>
      <c r="C106" s="204">
        <f>(B102+B104)/2</f>
        <v>9140.794637320301</v>
      </c>
      <c r="D106" s="205"/>
      <c r="E106" s="17" t="s">
        <v>0</v>
      </c>
      <c r="F106" s="3">
        <f>C106*6.894757</f>
        <v>63023.55781122661</v>
      </c>
      <c r="G106" s="7" t="s">
        <v>120</v>
      </c>
      <c r="H106" s="177" t="s">
        <v>185</v>
      </c>
      <c r="I106" s="178"/>
      <c r="J106" s="178"/>
      <c r="K106" s="179"/>
    </row>
    <row r="107" spans="1:11" ht="12.75">
      <c r="A107" s="206" t="s">
        <v>187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8"/>
    </row>
    <row r="108" spans="1:11" ht="12.75">
      <c r="A108" s="195" t="s">
        <v>188</v>
      </c>
      <c r="B108" s="196"/>
      <c r="C108" s="201" t="str">
        <f>IF(B102&lt;=1.5*B65,"A tensão longitudinal está Ok","A tensão longitudinal não passou")</f>
        <v>A tensão longitudinal está Ok</v>
      </c>
      <c r="D108" s="202"/>
      <c r="E108" s="202"/>
      <c r="F108" s="202"/>
      <c r="G108" s="202"/>
      <c r="H108" s="202"/>
      <c r="I108" s="202"/>
      <c r="J108" s="202"/>
      <c r="K108" s="203"/>
    </row>
    <row r="109" spans="1:11" ht="12.75">
      <c r="A109" s="197"/>
      <c r="B109" s="198"/>
      <c r="C109" s="201" t="str">
        <f>IF(B103&lt;=B65,"A tensão radial está Ok","A tensão radial não passou")</f>
        <v>A tensão radial está Ok</v>
      </c>
      <c r="D109" s="202"/>
      <c r="E109" s="202"/>
      <c r="F109" s="202"/>
      <c r="G109" s="202"/>
      <c r="H109" s="202"/>
      <c r="I109" s="202"/>
      <c r="J109" s="202"/>
      <c r="K109" s="203"/>
    </row>
    <row r="110" spans="1:11" ht="12.75">
      <c r="A110" s="197"/>
      <c r="B110" s="198"/>
      <c r="C110" s="201" t="str">
        <f>IF(B104&lt;=B65,"A tensão tangencial está Ok","A tensão tangencial não passou")</f>
        <v>A tensão tangencial está Ok</v>
      </c>
      <c r="D110" s="202"/>
      <c r="E110" s="202"/>
      <c r="F110" s="202"/>
      <c r="G110" s="202"/>
      <c r="H110" s="202"/>
      <c r="I110" s="202"/>
      <c r="J110" s="202"/>
      <c r="K110" s="203"/>
    </row>
    <row r="111" spans="1:11" ht="12.75">
      <c r="A111" s="197"/>
      <c r="B111" s="198"/>
      <c r="C111" s="201" t="str">
        <f>IF(C105&lt;=B65,"Ok, ((SHA+SRA)/2) é menor do que Sff","Não passou: ((SHA+SRA)/2) é maior do que Sff")</f>
        <v>Ok, ((SHA+SRA)/2) é menor do que Sff</v>
      </c>
      <c r="D111" s="202"/>
      <c r="E111" s="202"/>
      <c r="F111" s="202"/>
      <c r="G111" s="202"/>
      <c r="H111" s="202"/>
      <c r="I111" s="202"/>
      <c r="J111" s="202"/>
      <c r="K111" s="203"/>
    </row>
    <row r="112" spans="1:11" ht="12.75">
      <c r="A112" s="199"/>
      <c r="B112" s="200"/>
      <c r="C112" s="201" t="str">
        <f>IF(C106&lt;=B65,"Ok, ((SHA+STA)/2) é menor do que Sff","Não passou: ((SHA+STA)/2) é maior do que Sff")</f>
        <v>Ok, ((SHA+STA)/2) é menor do que Sff</v>
      </c>
      <c r="D112" s="202"/>
      <c r="E112" s="202"/>
      <c r="F112" s="202"/>
      <c r="G112" s="202"/>
      <c r="H112" s="202"/>
      <c r="I112" s="202"/>
      <c r="J112" s="202"/>
      <c r="K112" s="203"/>
    </row>
    <row r="113" spans="1:11" ht="21.75" customHeight="1">
      <c r="A113" s="206" t="s">
        <v>189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10"/>
    </row>
    <row r="114" spans="1:13" ht="12.75">
      <c r="A114" s="10" t="s">
        <v>190</v>
      </c>
      <c r="B114" s="28">
        <v>50172.84924647368</v>
      </c>
      <c r="C114" s="2" t="s">
        <v>0</v>
      </c>
      <c r="D114" s="16">
        <f>B114*6.894757</f>
        <v>345929.6035520691</v>
      </c>
      <c r="E114" s="7" t="s">
        <v>120</v>
      </c>
      <c r="F114" s="174" t="s">
        <v>191</v>
      </c>
      <c r="G114" s="175"/>
      <c r="H114" s="175"/>
      <c r="I114" s="175"/>
      <c r="J114" s="175"/>
      <c r="K114" s="176"/>
      <c r="L114" s="34">
        <f>B116/B36</f>
        <v>66529.1981008241</v>
      </c>
      <c r="M114" s="34">
        <f>D116/B36</f>
        <v>30177.13863662825</v>
      </c>
    </row>
    <row r="115" spans="1:12" ht="12.75">
      <c r="A115" s="19" t="s">
        <v>192</v>
      </c>
      <c r="B115" s="20">
        <f>+B114*0.5</f>
        <v>25086.42462323684</v>
      </c>
      <c r="C115" s="2" t="s">
        <v>0</v>
      </c>
      <c r="D115" s="16">
        <f>B115*6.894757</f>
        <v>172964.80177603455</v>
      </c>
      <c r="E115" s="7" t="s">
        <v>120</v>
      </c>
      <c r="F115" s="174" t="s">
        <v>193</v>
      </c>
      <c r="G115" s="175"/>
      <c r="H115" s="175"/>
      <c r="I115" s="175"/>
      <c r="J115" s="175"/>
      <c r="K115" s="176"/>
      <c r="L115" s="28">
        <f>B116/B37/B36</f>
        <v>25086.424623236842</v>
      </c>
    </row>
    <row r="116" spans="1:11" ht="18.75" customHeight="1">
      <c r="A116" s="19" t="s">
        <v>194</v>
      </c>
      <c r="B116" s="16">
        <f>+B115*B37*B36</f>
        <v>3193401.508839557</v>
      </c>
      <c r="C116" s="2" t="s">
        <v>29</v>
      </c>
      <c r="D116" s="30">
        <f>B116*0.4535924</f>
        <v>1448502.654558156</v>
      </c>
      <c r="E116" s="7" t="s">
        <v>1</v>
      </c>
      <c r="F116" s="174" t="s">
        <v>195</v>
      </c>
      <c r="G116" s="175"/>
      <c r="H116" s="175"/>
      <c r="I116" s="175"/>
      <c r="J116" s="175"/>
      <c r="K116" s="176"/>
    </row>
    <row r="117" spans="1:11" ht="18" customHeight="1">
      <c r="A117" s="10" t="s">
        <v>196</v>
      </c>
      <c r="B117" s="15">
        <f>B116*(B55-B24)/2</f>
        <v>10791666.595181942</v>
      </c>
      <c r="C117" s="2" t="s">
        <v>56</v>
      </c>
      <c r="D117" s="16">
        <f>B117*0.1152124</f>
        <v>1243333.8084307401</v>
      </c>
      <c r="E117" s="7" t="s">
        <v>57</v>
      </c>
      <c r="F117" s="174" t="s">
        <v>197</v>
      </c>
      <c r="G117" s="175"/>
      <c r="H117" s="175"/>
      <c r="I117" s="175"/>
      <c r="J117" s="175"/>
      <c r="K117" s="176"/>
    </row>
    <row r="118" spans="1:11" ht="20.25" customHeight="1">
      <c r="A118" s="10" t="s">
        <v>198</v>
      </c>
      <c r="B118" s="32">
        <f>IF(B51="a",(B211*B117)/(B221*(B53^2)*B56),0)</f>
        <v>23296.41103786789</v>
      </c>
      <c r="C118" s="13" t="s">
        <v>0</v>
      </c>
      <c r="D118" s="16">
        <f>B118*6.894757</f>
        <v>160623.0930782169</v>
      </c>
      <c r="E118" s="7" t="s">
        <v>120</v>
      </c>
      <c r="F118" s="174" t="s">
        <v>199</v>
      </c>
      <c r="G118" s="175"/>
      <c r="H118" s="175"/>
      <c r="I118" s="175"/>
      <c r="J118" s="175"/>
      <c r="K118" s="176"/>
    </row>
    <row r="119" spans="1:11" ht="21" customHeight="1">
      <c r="A119" s="10" t="s">
        <v>200</v>
      </c>
      <c r="B119" s="32">
        <f>IF(B51="a",(((1.33*B61*B60)+1)*B117)/(B221*(B61^2)*B56),0)</f>
        <v>6312.914124807368</v>
      </c>
      <c r="C119" s="13" t="s">
        <v>0</v>
      </c>
      <c r="D119" s="16">
        <f>B119*6.894757</f>
        <v>43526.00885241448</v>
      </c>
      <c r="E119" s="7" t="s">
        <v>120</v>
      </c>
      <c r="F119" s="174" t="s">
        <v>201</v>
      </c>
      <c r="G119" s="175"/>
      <c r="H119" s="175"/>
      <c r="I119" s="175"/>
      <c r="J119" s="175"/>
      <c r="K119" s="176"/>
    </row>
    <row r="120" spans="1:11" ht="18" customHeight="1">
      <c r="A120" s="10" t="s">
        <v>202</v>
      </c>
      <c r="B120" s="33">
        <f>IF(B51="a",((B215*B117)/((B61^2)*B56))-(B216*B119),(B215*B117)/((B61^2)*B56))</f>
        <v>9763.826703914194</v>
      </c>
      <c r="C120" s="13" t="s">
        <v>0</v>
      </c>
      <c r="D120" s="16">
        <f>B120*6.894757</f>
        <v>67319.21251359931</v>
      </c>
      <c r="E120" s="7" t="s">
        <v>120</v>
      </c>
      <c r="F120" s="174" t="s">
        <v>203</v>
      </c>
      <c r="G120" s="175"/>
      <c r="H120" s="175"/>
      <c r="I120" s="175"/>
      <c r="J120" s="175"/>
      <c r="K120" s="176"/>
    </row>
    <row r="121" spans="1:11" ht="12.75">
      <c r="A121" s="183" t="s">
        <v>204</v>
      </c>
      <c r="B121" s="184"/>
      <c r="C121" s="211">
        <f>(B118+B119)/2</f>
        <v>14804.662581337629</v>
      </c>
      <c r="D121" s="211"/>
      <c r="E121" s="17" t="s">
        <v>0</v>
      </c>
      <c r="F121" s="16">
        <f>C121*6.894757</f>
        <v>102074.55096531569</v>
      </c>
      <c r="G121" s="7" t="s">
        <v>120</v>
      </c>
      <c r="H121" s="177" t="s">
        <v>185</v>
      </c>
      <c r="I121" s="178"/>
      <c r="J121" s="178"/>
      <c r="K121" s="179"/>
    </row>
    <row r="122" spans="1:11" ht="12.75">
      <c r="A122" s="183" t="s">
        <v>205</v>
      </c>
      <c r="B122" s="184"/>
      <c r="C122" s="211">
        <f>(B118+B120)/2</f>
        <v>16530.11887089104</v>
      </c>
      <c r="D122" s="211"/>
      <c r="E122" s="17" t="s">
        <v>0</v>
      </c>
      <c r="F122" s="16">
        <f>C122*6.894757</f>
        <v>113971.15279590811</v>
      </c>
      <c r="G122" s="7" t="s">
        <v>120</v>
      </c>
      <c r="H122" s="177" t="s">
        <v>185</v>
      </c>
      <c r="I122" s="178"/>
      <c r="J122" s="178"/>
      <c r="K122" s="179"/>
    </row>
    <row r="123" spans="1:11" ht="12.75">
      <c r="A123" s="206" t="s">
        <v>206</v>
      </c>
      <c r="B123" s="207"/>
      <c r="C123" s="207"/>
      <c r="D123" s="207"/>
      <c r="E123" s="207"/>
      <c r="F123" s="207"/>
      <c r="G123" s="207"/>
      <c r="H123" s="207"/>
      <c r="I123" s="207"/>
      <c r="J123" s="207"/>
      <c r="K123" s="208"/>
    </row>
    <row r="124" spans="1:11" ht="12.75">
      <c r="A124" s="195" t="s">
        <v>207</v>
      </c>
      <c r="B124" s="196"/>
      <c r="C124" s="201" t="str">
        <f>IF(B118&lt;=1.5*B65,"A tensão longitudinal está Ok","A tensão longitudinal não passou")</f>
        <v>A tensão longitudinal está Ok</v>
      </c>
      <c r="D124" s="202"/>
      <c r="E124" s="202"/>
      <c r="F124" s="202"/>
      <c r="G124" s="202"/>
      <c r="H124" s="202"/>
      <c r="I124" s="202"/>
      <c r="J124" s="202"/>
      <c r="K124" s="203"/>
    </row>
    <row r="125" spans="1:11" ht="12.75">
      <c r="A125" s="197"/>
      <c r="B125" s="198"/>
      <c r="C125" s="201" t="str">
        <f>IF(B119&lt;=B65,"A tensão radial está Ok","A tensão radial não passou")</f>
        <v>A tensão radial está Ok</v>
      </c>
      <c r="D125" s="202"/>
      <c r="E125" s="202"/>
      <c r="F125" s="202"/>
      <c r="G125" s="202"/>
      <c r="H125" s="202"/>
      <c r="I125" s="202"/>
      <c r="J125" s="202"/>
      <c r="K125" s="203"/>
    </row>
    <row r="126" spans="1:11" ht="12.75">
      <c r="A126" s="197"/>
      <c r="B126" s="198"/>
      <c r="C126" s="201" t="str">
        <f>IF(B120&lt;=B65,"A tensão tangencial está Ok","A tensão tangencial não passou")</f>
        <v>A tensão tangencial está Ok</v>
      </c>
      <c r="D126" s="202"/>
      <c r="E126" s="202"/>
      <c r="F126" s="202"/>
      <c r="G126" s="202"/>
      <c r="H126" s="202"/>
      <c r="I126" s="202"/>
      <c r="J126" s="202"/>
      <c r="K126" s="203"/>
    </row>
    <row r="127" spans="1:11" ht="12.75">
      <c r="A127" s="197"/>
      <c r="B127" s="198"/>
      <c r="C127" s="201" t="str">
        <f>IF(C121&lt;=B65,"Ok, ((SHI+SRI)/2) é menor do que Sff","Não passou: ((SHI+SRI)/2) é maior do que Sff")</f>
        <v>Ok, ((SHI+SRI)/2) é menor do que Sff</v>
      </c>
      <c r="D127" s="202"/>
      <c r="E127" s="202"/>
      <c r="F127" s="202"/>
      <c r="G127" s="202"/>
      <c r="H127" s="202"/>
      <c r="I127" s="202"/>
      <c r="J127" s="202"/>
      <c r="K127" s="203"/>
    </row>
    <row r="128" spans="1:11" ht="12.75">
      <c r="A128" s="199"/>
      <c r="B128" s="200"/>
      <c r="C128" s="201" t="str">
        <f>IF(C122&lt;=B65,"Ok, ((SHI+STI)/2) é menor do que Sff","Não passou: ((SHI+STI)/2) é maior do que Sff")</f>
        <v>Ok, ((SHI+STI)/2) é menor do que Sff</v>
      </c>
      <c r="D128" s="202"/>
      <c r="E128" s="202"/>
      <c r="F128" s="202"/>
      <c r="G128" s="202"/>
      <c r="H128" s="202"/>
      <c r="I128" s="202"/>
      <c r="J128" s="202"/>
      <c r="K128" s="203"/>
    </row>
    <row r="129" spans="1:11" ht="12.75">
      <c r="A129" s="180" t="s">
        <v>208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7"/>
    </row>
    <row r="130" spans="1:11" ht="12.75">
      <c r="A130" s="162" t="s">
        <v>365</v>
      </c>
      <c r="B130" s="163"/>
      <c r="C130" s="163"/>
      <c r="D130" s="163"/>
      <c r="E130" s="163"/>
      <c r="F130" s="163"/>
      <c r="G130" s="163"/>
      <c r="H130" s="163"/>
      <c r="I130" s="163"/>
      <c r="J130" s="163"/>
      <c r="K130" s="164"/>
    </row>
    <row r="131" spans="1:11" ht="12.75">
      <c r="A131" s="165" t="s">
        <v>209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7"/>
    </row>
    <row r="132" spans="1:11" ht="12.75">
      <c r="A132" s="165" t="s">
        <v>210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7"/>
    </row>
    <row r="133" spans="1:11" ht="12.75">
      <c r="A133" s="168" t="s">
        <v>211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70"/>
    </row>
    <row r="134" spans="1:11" ht="12.75">
      <c r="A134" s="21" t="s">
        <v>212</v>
      </c>
      <c r="B134" s="31" t="s">
        <v>92</v>
      </c>
      <c r="C134" s="212" t="s">
        <v>213</v>
      </c>
      <c r="D134" s="213"/>
      <c r="E134" s="213"/>
      <c r="F134" s="213"/>
      <c r="G134" s="213"/>
      <c r="H134" s="213"/>
      <c r="I134" s="213"/>
      <c r="J134" s="213"/>
      <c r="K134" s="214"/>
    </row>
    <row r="135" spans="1:11" ht="12.75">
      <c r="A135" s="154" t="s">
        <v>214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6"/>
    </row>
    <row r="136" spans="1:11" ht="12.75">
      <c r="A136" s="10" t="s">
        <v>151</v>
      </c>
      <c r="B136" s="35">
        <f>+B79</f>
        <v>1305914.5949805183</v>
      </c>
      <c r="C136" s="10" t="s">
        <v>215</v>
      </c>
      <c r="D136" s="16">
        <f>B136*0.1152124</f>
        <v>150457.5546827335</v>
      </c>
      <c r="E136" s="7" t="s">
        <v>57</v>
      </c>
      <c r="F136" s="171" t="s">
        <v>216</v>
      </c>
      <c r="G136" s="172"/>
      <c r="H136" s="172"/>
      <c r="I136" s="172"/>
      <c r="J136" s="172"/>
      <c r="K136" s="173"/>
    </row>
    <row r="137" spans="1:11" ht="18.75" customHeight="1">
      <c r="A137" s="10" t="s">
        <v>217</v>
      </c>
      <c r="B137" s="36">
        <f>(52.14*B136*B207)/(B221*B63*(B54^2)*B59*0.3)</f>
        <v>0.12101139184225337</v>
      </c>
      <c r="C137" s="13" t="s">
        <v>218</v>
      </c>
      <c r="D137" s="22">
        <f>B137</f>
        <v>0.12101139184225337</v>
      </c>
      <c r="E137" s="13" t="s">
        <v>218</v>
      </c>
      <c r="F137" s="174" t="s">
        <v>219</v>
      </c>
      <c r="G137" s="175"/>
      <c r="H137" s="175"/>
      <c r="I137" s="175"/>
      <c r="J137" s="175"/>
      <c r="K137" s="176"/>
    </row>
    <row r="138" spans="1:11" ht="21.75" customHeight="1">
      <c r="A138" s="1" t="s">
        <v>220</v>
      </c>
      <c r="B138" s="36">
        <f>(52.14*B136*B210)/(B222*B63*(B54^2)*B59*0.2)</f>
        <v>0.2574420151051093</v>
      </c>
      <c r="C138" s="2" t="s">
        <v>218</v>
      </c>
      <c r="D138" s="22">
        <f>B138</f>
        <v>0.2574420151051093</v>
      </c>
      <c r="E138" s="2" t="s">
        <v>218</v>
      </c>
      <c r="F138" s="148" t="s">
        <v>221</v>
      </c>
      <c r="G138" s="149"/>
      <c r="H138" s="149"/>
      <c r="I138" s="149"/>
      <c r="J138" s="149"/>
      <c r="K138" s="150"/>
    </row>
    <row r="139" spans="1:11" ht="18" customHeight="1">
      <c r="A139" s="10" t="s">
        <v>222</v>
      </c>
      <c r="B139" s="36">
        <f>(109.4*B136)/(B63*(B61^3)*(LN(B213))*0.2)</f>
        <v>0.6722210746652909</v>
      </c>
      <c r="C139" s="13" t="s">
        <v>218</v>
      </c>
      <c r="D139" s="22">
        <f>B139</f>
        <v>0.6722210746652909</v>
      </c>
      <c r="E139" s="13" t="s">
        <v>218</v>
      </c>
      <c r="F139" s="174" t="s">
        <v>223</v>
      </c>
      <c r="G139" s="175"/>
      <c r="H139" s="175"/>
      <c r="I139" s="175"/>
      <c r="J139" s="175"/>
      <c r="K139" s="176"/>
    </row>
    <row r="140" spans="1:11" ht="12.75">
      <c r="A140" s="1" t="s">
        <v>224</v>
      </c>
      <c r="B140" s="23">
        <f>IF(B134="a",B137,IF(B134="b",B138,IF(B134="c",B139)))</f>
        <v>0.12101139184225337</v>
      </c>
      <c r="C140" s="2" t="s">
        <v>14</v>
      </c>
      <c r="D140" s="22">
        <f>B140</f>
        <v>0.12101139184225337</v>
      </c>
      <c r="E140" s="2" t="s">
        <v>14</v>
      </c>
      <c r="F140" s="148" t="s">
        <v>225</v>
      </c>
      <c r="G140" s="149"/>
      <c r="H140" s="149"/>
      <c r="I140" s="149"/>
      <c r="J140" s="149"/>
      <c r="K140" s="150"/>
    </row>
    <row r="141" spans="1:11" ht="12.75" customHeight="1">
      <c r="A141" s="217" t="s">
        <v>226</v>
      </c>
      <c r="B141" s="218"/>
      <c r="C141" s="218"/>
      <c r="D141" s="218"/>
      <c r="E141" s="219"/>
      <c r="F141" s="220" t="str">
        <f>+IF(B140&lt;=1,"OK, os flanges tem rigidez suficiente","Reanalisar, os flanges não tem rigidez suficiente")</f>
        <v>OK, os flanges tem rigidez suficiente</v>
      </c>
      <c r="G141" s="221"/>
      <c r="H141" s="221"/>
      <c r="I141" s="221"/>
      <c r="J141" s="221"/>
      <c r="K141" s="222"/>
    </row>
    <row r="142" spans="1:11" ht="12.75">
      <c r="A142" s="154" t="s">
        <v>227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216"/>
    </row>
    <row r="143" spans="1:11" ht="12.75">
      <c r="A143" s="10" t="s">
        <v>176</v>
      </c>
      <c r="B143" s="35">
        <f>+B101</f>
        <v>5967555.8845917955</v>
      </c>
      <c r="C143" s="10" t="s">
        <v>215</v>
      </c>
      <c r="D143" s="16">
        <f>B143*0.1152124</f>
        <v>687536.4355979438</v>
      </c>
      <c r="E143" s="7" t="s">
        <v>57</v>
      </c>
      <c r="F143" s="171" t="s">
        <v>228</v>
      </c>
      <c r="G143" s="172"/>
      <c r="H143" s="172"/>
      <c r="I143" s="172"/>
      <c r="J143" s="172"/>
      <c r="K143" s="173"/>
    </row>
    <row r="144" spans="1:11" ht="19.5" customHeight="1">
      <c r="A144" s="10" t="s">
        <v>217</v>
      </c>
      <c r="B144" s="36">
        <f>(52.14*B143*B207)/(B221*B63*(B54^2)*B59*0.3)</f>
        <v>0.5529781551309298</v>
      </c>
      <c r="C144" s="13" t="s">
        <v>218</v>
      </c>
      <c r="D144" s="22">
        <f>B144</f>
        <v>0.5529781551309298</v>
      </c>
      <c r="E144" s="13" t="s">
        <v>218</v>
      </c>
      <c r="F144" s="174" t="s">
        <v>219</v>
      </c>
      <c r="G144" s="175"/>
      <c r="H144" s="175"/>
      <c r="I144" s="175"/>
      <c r="J144" s="175"/>
      <c r="K144" s="176"/>
    </row>
    <row r="145" spans="1:11" ht="18" customHeight="1">
      <c r="A145" s="1" t="s">
        <v>220</v>
      </c>
      <c r="B145" s="36">
        <f>(52.14*B143*B210)/(B222*B63*(B54^2)*B59*0.2)</f>
        <v>1.1764166034185286</v>
      </c>
      <c r="C145" s="2" t="s">
        <v>218</v>
      </c>
      <c r="D145" s="22">
        <f>B145</f>
        <v>1.1764166034185286</v>
      </c>
      <c r="E145" s="2" t="s">
        <v>218</v>
      </c>
      <c r="F145" s="148" t="s">
        <v>221</v>
      </c>
      <c r="G145" s="149"/>
      <c r="H145" s="149"/>
      <c r="I145" s="149"/>
      <c r="J145" s="149"/>
      <c r="K145" s="150"/>
    </row>
    <row r="146" spans="1:11" ht="24.75" customHeight="1">
      <c r="A146" s="10" t="s">
        <v>222</v>
      </c>
      <c r="B146" s="36">
        <f>(109.4*B143)/(B63*(B61^3)*(LN(B213))*0.2)</f>
        <v>3.071806414664752</v>
      </c>
      <c r="C146" s="13" t="s">
        <v>218</v>
      </c>
      <c r="D146" s="22">
        <f>B146</f>
        <v>3.071806414664752</v>
      </c>
      <c r="E146" s="13" t="s">
        <v>218</v>
      </c>
      <c r="F146" s="174" t="s">
        <v>223</v>
      </c>
      <c r="G146" s="175"/>
      <c r="H146" s="175"/>
      <c r="I146" s="175"/>
      <c r="J146" s="175"/>
      <c r="K146" s="176"/>
    </row>
    <row r="147" spans="1:11" ht="12.75">
      <c r="A147" s="1" t="s">
        <v>224</v>
      </c>
      <c r="B147" s="23">
        <f>IF(B134="a",B144,IF(B134="b",B145,IF(B134="c",B146)))</f>
        <v>0.5529781551309298</v>
      </c>
      <c r="C147" s="2" t="s">
        <v>14</v>
      </c>
      <c r="D147" s="22">
        <f>B147</f>
        <v>0.5529781551309298</v>
      </c>
      <c r="E147" s="2" t="s">
        <v>14</v>
      </c>
      <c r="F147" s="148" t="s">
        <v>229</v>
      </c>
      <c r="G147" s="149"/>
      <c r="H147" s="149"/>
      <c r="I147" s="149"/>
      <c r="J147" s="149"/>
      <c r="K147" s="150"/>
    </row>
    <row r="148" spans="1:11" ht="12.75" customHeight="1">
      <c r="A148" s="217" t="s">
        <v>226</v>
      </c>
      <c r="B148" s="218"/>
      <c r="C148" s="218"/>
      <c r="D148" s="218"/>
      <c r="E148" s="219"/>
      <c r="F148" s="220" t="str">
        <f>+IF(B147&lt;=1,"OK, os flanges tem rigidez suficiente","Reanalisar, os flanges não tem rigidez suficiente")</f>
        <v>OK, os flanges tem rigidez suficiente</v>
      </c>
      <c r="G148" s="221"/>
      <c r="H148" s="221"/>
      <c r="I148" s="221"/>
      <c r="J148" s="221"/>
      <c r="K148" s="222"/>
    </row>
    <row r="149" spans="1:11" ht="12.75">
      <c r="A149" s="154" t="s">
        <v>230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6"/>
    </row>
    <row r="150" spans="1:11" ht="12.75">
      <c r="A150" s="10" t="s">
        <v>196</v>
      </c>
      <c r="B150" s="35">
        <f>+B117</f>
        <v>10791666.595181942</v>
      </c>
      <c r="C150" s="10" t="s">
        <v>215</v>
      </c>
      <c r="D150" s="16">
        <f>B150*0.1152124</f>
        <v>1243333.8084307401</v>
      </c>
      <c r="E150" s="7" t="s">
        <v>57</v>
      </c>
      <c r="F150" s="171" t="s">
        <v>231</v>
      </c>
      <c r="G150" s="172"/>
      <c r="H150" s="172"/>
      <c r="I150" s="172"/>
      <c r="J150" s="172"/>
      <c r="K150" s="173"/>
    </row>
    <row r="151" spans="1:11" ht="24.75" customHeight="1">
      <c r="A151" s="10" t="s">
        <v>217</v>
      </c>
      <c r="B151" s="36">
        <f>(52.14*B150*B207)/(B221*B63*(B54^2)*B59*0.3)</f>
        <v>0.9999999999999998</v>
      </c>
      <c r="C151" s="13" t="s">
        <v>218</v>
      </c>
      <c r="D151" s="22">
        <f>B151</f>
        <v>0.9999999999999998</v>
      </c>
      <c r="E151" s="13" t="s">
        <v>218</v>
      </c>
      <c r="F151" s="174" t="s">
        <v>219</v>
      </c>
      <c r="G151" s="175"/>
      <c r="H151" s="175"/>
      <c r="I151" s="175"/>
      <c r="J151" s="175"/>
      <c r="K151" s="176"/>
    </row>
    <row r="152" spans="1:11" ht="18.75" customHeight="1">
      <c r="A152" s="1" t="s">
        <v>220</v>
      </c>
      <c r="B152" s="36">
        <f>(52.14*B150*B210)/(B222*B63*(B54^2)*B59*0.2)</f>
        <v>2.127419668395374</v>
      </c>
      <c r="C152" s="2" t="s">
        <v>218</v>
      </c>
      <c r="D152" s="22">
        <f>B152</f>
        <v>2.127419668395374</v>
      </c>
      <c r="E152" s="2" t="s">
        <v>218</v>
      </c>
      <c r="F152" s="148" t="s">
        <v>221</v>
      </c>
      <c r="G152" s="149"/>
      <c r="H152" s="149"/>
      <c r="I152" s="149"/>
      <c r="J152" s="149"/>
      <c r="K152" s="150"/>
    </row>
    <row r="153" spans="1:11" ht="21.75" customHeight="1">
      <c r="A153" s="10" t="s">
        <v>222</v>
      </c>
      <c r="B153" s="36">
        <f>(109.4*B150)/(B63*(B61^3)*(LN(B213))*0.2)</f>
        <v>5.555023080319389</v>
      </c>
      <c r="C153" s="13" t="s">
        <v>218</v>
      </c>
      <c r="D153" s="22">
        <f>B153</f>
        <v>5.555023080319389</v>
      </c>
      <c r="E153" s="13" t="s">
        <v>218</v>
      </c>
      <c r="F153" s="174" t="s">
        <v>223</v>
      </c>
      <c r="G153" s="175"/>
      <c r="H153" s="175"/>
      <c r="I153" s="175"/>
      <c r="J153" s="175"/>
      <c r="K153" s="176"/>
    </row>
    <row r="154" spans="1:11" ht="12.75">
      <c r="A154" s="1" t="s">
        <v>224</v>
      </c>
      <c r="B154" s="23">
        <f>IF(B134="a",B151,IF(B134="b",B152,IF(B134="c",B153)))</f>
        <v>0.9999999999999998</v>
      </c>
      <c r="C154" s="2" t="s">
        <v>14</v>
      </c>
      <c r="D154" s="22">
        <f>B154</f>
        <v>0.9999999999999998</v>
      </c>
      <c r="E154" s="2" t="s">
        <v>14</v>
      </c>
      <c r="F154" s="148" t="s">
        <v>232</v>
      </c>
      <c r="G154" s="149"/>
      <c r="H154" s="149"/>
      <c r="I154" s="149"/>
      <c r="J154" s="149"/>
      <c r="K154" s="150"/>
    </row>
    <row r="155" spans="1:11" ht="12.75" customHeight="1">
      <c r="A155" s="217" t="s">
        <v>226</v>
      </c>
      <c r="B155" s="218"/>
      <c r="C155" s="218"/>
      <c r="D155" s="218"/>
      <c r="E155" s="219"/>
      <c r="F155" s="220" t="str">
        <f>+IF(B154&lt;=1,"OK, os flanges tem rigidez suficiente","Reanalisar, os flanges não tem rigidez suficiente")</f>
        <v>OK, os flanges tem rigidez suficiente</v>
      </c>
      <c r="G155" s="221"/>
      <c r="H155" s="221"/>
      <c r="I155" s="221"/>
      <c r="J155" s="221"/>
      <c r="K155" s="222"/>
    </row>
    <row r="156" spans="1:11" ht="12.75">
      <c r="A156" s="217"/>
      <c r="B156" s="218"/>
      <c r="C156" s="218"/>
      <c r="D156" s="218"/>
      <c r="E156" s="218"/>
      <c r="F156" s="218"/>
      <c r="G156" s="218"/>
      <c r="H156" s="218"/>
      <c r="I156" s="218"/>
      <c r="J156" s="218"/>
      <c r="K156" s="219"/>
    </row>
    <row r="157" spans="1:11" ht="12.75">
      <c r="A157" s="217"/>
      <c r="B157" s="218"/>
      <c r="C157" s="218"/>
      <c r="D157" s="218"/>
      <c r="E157" s="218"/>
      <c r="F157" s="218"/>
      <c r="G157" s="218"/>
      <c r="H157" s="218"/>
      <c r="I157" s="218"/>
      <c r="J157" s="218"/>
      <c r="K157" s="219"/>
    </row>
    <row r="158" spans="1:11" ht="12.75">
      <c r="A158" s="223" t="s">
        <v>233</v>
      </c>
      <c r="B158" s="224"/>
      <c r="C158" s="224"/>
      <c r="D158" s="224"/>
      <c r="E158" s="224"/>
      <c r="F158" s="224"/>
      <c r="G158" s="224"/>
      <c r="H158" s="224"/>
      <c r="I158" s="224"/>
      <c r="J158" s="224"/>
      <c r="K158" s="225"/>
    </row>
    <row r="159" spans="1:11" ht="12.75">
      <c r="A159" s="1" t="s">
        <v>108</v>
      </c>
      <c r="B159" s="36">
        <f>(B56*B54)^0.5</f>
        <v>8.580509731379278</v>
      </c>
      <c r="C159" s="2" t="s">
        <v>47</v>
      </c>
      <c r="D159" s="24">
        <f>B159*25.4</f>
        <v>217.94494717703364</v>
      </c>
      <c r="E159" s="7" t="s">
        <v>2</v>
      </c>
      <c r="F159" s="148" t="s">
        <v>234</v>
      </c>
      <c r="G159" s="149"/>
      <c r="H159" s="149"/>
      <c r="I159" s="149"/>
      <c r="J159" s="149"/>
      <c r="K159" s="150"/>
    </row>
    <row r="160" spans="1:11" ht="12.75">
      <c r="A160" s="1" t="s">
        <v>235</v>
      </c>
      <c r="B160" s="36">
        <f>(B53/B54)-1</f>
        <v>1.3880000000000003</v>
      </c>
      <c r="C160" s="2" t="s">
        <v>218</v>
      </c>
      <c r="D160" s="22">
        <f aca="true" t="shared" si="1" ref="D160:D221">B160</f>
        <v>1.3880000000000003</v>
      </c>
      <c r="E160" s="2" t="s">
        <v>218</v>
      </c>
      <c r="F160" s="148" t="s">
        <v>236</v>
      </c>
      <c r="G160" s="149"/>
      <c r="H160" s="149"/>
      <c r="I160" s="149"/>
      <c r="J160" s="149"/>
      <c r="K160" s="150"/>
    </row>
    <row r="161" spans="1:11" ht="12.75">
      <c r="A161" s="1" t="s">
        <v>237</v>
      </c>
      <c r="B161" s="36">
        <f>B53/B54</f>
        <v>2.3880000000000003</v>
      </c>
      <c r="C161" s="2" t="s">
        <v>218</v>
      </c>
      <c r="D161" s="22">
        <f t="shared" si="1"/>
        <v>2.3880000000000003</v>
      </c>
      <c r="E161" s="2" t="s">
        <v>218</v>
      </c>
      <c r="F161" s="148" t="s">
        <v>237</v>
      </c>
      <c r="G161" s="149"/>
      <c r="H161" s="149"/>
      <c r="I161" s="149"/>
      <c r="J161" s="149"/>
      <c r="K161" s="150"/>
    </row>
    <row r="162" spans="1:11" ht="12.75">
      <c r="A162" s="1" t="s">
        <v>238</v>
      </c>
      <c r="B162" s="36">
        <f>B58/B159</f>
        <v>0.7616602364502651</v>
      </c>
      <c r="C162" s="2" t="s">
        <v>218</v>
      </c>
      <c r="D162" s="22">
        <f t="shared" si="1"/>
        <v>0.7616602364502651</v>
      </c>
      <c r="E162" s="2" t="s">
        <v>218</v>
      </c>
      <c r="F162" s="148" t="s">
        <v>238</v>
      </c>
      <c r="G162" s="149"/>
      <c r="H162" s="149"/>
      <c r="I162" s="149"/>
      <c r="J162" s="149"/>
      <c r="K162" s="150"/>
    </row>
    <row r="163" spans="1:11" ht="12.75">
      <c r="A163" s="1" t="s">
        <v>239</v>
      </c>
      <c r="B163" s="36">
        <f>43.68*((B162)^4)</f>
        <v>14.700352966417736</v>
      </c>
      <c r="C163" s="2" t="s">
        <v>218</v>
      </c>
      <c r="D163" s="22">
        <f t="shared" si="1"/>
        <v>14.700352966417736</v>
      </c>
      <c r="E163" s="2" t="s">
        <v>218</v>
      </c>
      <c r="F163" s="148" t="s">
        <v>240</v>
      </c>
      <c r="G163" s="149"/>
      <c r="H163" s="149"/>
      <c r="I163" s="149"/>
      <c r="J163" s="149"/>
      <c r="K163" s="150"/>
    </row>
    <row r="164" spans="1:11" ht="12.75">
      <c r="A164" s="1" t="s">
        <v>241</v>
      </c>
      <c r="B164" s="36">
        <f>0.333333333333333+(B160/12)</f>
        <v>0.449</v>
      </c>
      <c r="C164" s="2" t="s">
        <v>218</v>
      </c>
      <c r="D164" s="22">
        <f t="shared" si="1"/>
        <v>0.449</v>
      </c>
      <c r="E164" s="2" t="s">
        <v>218</v>
      </c>
      <c r="F164" s="148" t="s">
        <v>242</v>
      </c>
      <c r="G164" s="149"/>
      <c r="H164" s="149"/>
      <c r="I164" s="149"/>
      <c r="J164" s="149"/>
      <c r="K164" s="150"/>
    </row>
    <row r="165" spans="1:11" ht="12.75">
      <c r="A165" s="1" t="s">
        <v>243</v>
      </c>
      <c r="B165" s="36">
        <f>(0.119047619047619)+(17*B160/336)</f>
        <v>0.1892738095238095</v>
      </c>
      <c r="C165" s="2" t="s">
        <v>218</v>
      </c>
      <c r="D165" s="22">
        <f t="shared" si="1"/>
        <v>0.1892738095238095</v>
      </c>
      <c r="E165" s="2" t="s">
        <v>218</v>
      </c>
      <c r="F165" s="148" t="s">
        <v>244</v>
      </c>
      <c r="G165" s="149"/>
      <c r="H165" s="149"/>
      <c r="I165" s="149"/>
      <c r="J165" s="149"/>
      <c r="K165" s="150"/>
    </row>
    <row r="166" spans="1:11" ht="12.75">
      <c r="A166" s="1" t="s">
        <v>245</v>
      </c>
      <c r="B166" s="36">
        <f>(0.00476190476190476)+(B160/360)</f>
        <v>0.008617460317460315</v>
      </c>
      <c r="C166" s="2" t="s">
        <v>218</v>
      </c>
      <c r="D166" s="22">
        <f t="shared" si="1"/>
        <v>0.008617460317460315</v>
      </c>
      <c r="E166" s="2" t="s">
        <v>218</v>
      </c>
      <c r="F166" s="148" t="s">
        <v>246</v>
      </c>
      <c r="G166" s="149"/>
      <c r="H166" s="149"/>
      <c r="I166" s="149"/>
      <c r="J166" s="149"/>
      <c r="K166" s="150"/>
    </row>
    <row r="167" spans="1:11" ht="12.75">
      <c r="A167" s="1" t="s">
        <v>247</v>
      </c>
      <c r="B167" s="36">
        <f>(0.0305555555555556)+(59*B160/5040)+((1+(3*B160))/B163)</f>
        <v>0.398088050465934</v>
      </c>
      <c r="C167" s="2" t="s">
        <v>218</v>
      </c>
      <c r="D167" s="22">
        <f t="shared" si="1"/>
        <v>0.398088050465934</v>
      </c>
      <c r="E167" s="2" t="s">
        <v>218</v>
      </c>
      <c r="F167" s="148" t="s">
        <v>248</v>
      </c>
      <c r="G167" s="149"/>
      <c r="H167" s="149"/>
      <c r="I167" s="149"/>
      <c r="J167" s="149"/>
      <c r="K167" s="150"/>
    </row>
    <row r="168" spans="1:11" ht="12.75">
      <c r="A168" s="1" t="s">
        <v>249</v>
      </c>
      <c r="B168" s="36">
        <f>(0.0111111111111111)+(5*B160/1008)-(((1+B160)^3)/B163)</f>
        <v>-0.9083541792393062</v>
      </c>
      <c r="C168" s="2" t="s">
        <v>218</v>
      </c>
      <c r="D168" s="22">
        <f t="shared" si="1"/>
        <v>-0.9083541792393062</v>
      </c>
      <c r="E168" s="2" t="s">
        <v>218</v>
      </c>
      <c r="F168" s="148" t="s">
        <v>250</v>
      </c>
      <c r="G168" s="149"/>
      <c r="H168" s="149"/>
      <c r="I168" s="149"/>
      <c r="J168" s="149"/>
      <c r="K168" s="150"/>
    </row>
    <row r="169" spans="1:11" ht="12.75">
      <c r="A169" s="1" t="s">
        <v>251</v>
      </c>
      <c r="B169" s="36">
        <f>(0.00833333333333333)+(17*B160/5040)+(1/B163)</f>
        <v>0.08104065686546</v>
      </c>
      <c r="C169" s="2" t="s">
        <v>218</v>
      </c>
      <c r="D169" s="22">
        <f t="shared" si="1"/>
        <v>0.08104065686546</v>
      </c>
      <c r="E169" s="2" t="s">
        <v>218</v>
      </c>
      <c r="F169" s="148" t="s">
        <v>252</v>
      </c>
      <c r="G169" s="149"/>
      <c r="H169" s="149"/>
      <c r="I169" s="149"/>
      <c r="J169" s="149"/>
      <c r="K169" s="150"/>
    </row>
    <row r="170" spans="1:11" ht="12.75">
      <c r="A170" s="1" t="s">
        <v>253</v>
      </c>
      <c r="B170" s="36">
        <f>(0.0775613275613276)+(51*B160/1232)+((8.57142857142857)+(225*B160/14)+(75*(B160^2)/7)+(5*(B160^3)/2))/B163</f>
        <v>4.094462957524676</v>
      </c>
      <c r="C170" s="2" t="s">
        <v>218</v>
      </c>
      <c r="D170" s="22">
        <f t="shared" si="1"/>
        <v>4.094462957524676</v>
      </c>
      <c r="E170" s="2" t="s">
        <v>218</v>
      </c>
      <c r="F170" s="148" t="s">
        <v>254</v>
      </c>
      <c r="G170" s="149"/>
      <c r="H170" s="149"/>
      <c r="I170" s="149"/>
      <c r="J170" s="149"/>
      <c r="K170" s="150"/>
    </row>
    <row r="171" spans="1:11" ht="12.75">
      <c r="A171" s="1" t="s">
        <v>255</v>
      </c>
      <c r="B171" s="36">
        <f>(0.00447330447330447)+(128*B160/45045)+((0.857142857142857+15*B160/7)+((12*(B160^2))/7)+((5*(B160^3))/11))/B163</f>
        <v>0.5764003793744289</v>
      </c>
      <c r="C171" s="2" t="s">
        <v>218</v>
      </c>
      <c r="D171" s="22">
        <f t="shared" si="1"/>
        <v>0.5764003793744289</v>
      </c>
      <c r="E171" s="2" t="s">
        <v>218</v>
      </c>
      <c r="F171" s="148" t="s">
        <v>256</v>
      </c>
      <c r="G171" s="149"/>
      <c r="H171" s="149"/>
      <c r="I171" s="149"/>
      <c r="J171" s="149"/>
      <c r="K171" s="150"/>
    </row>
    <row r="172" spans="1:11" ht="12.75">
      <c r="A172" s="1" t="s">
        <v>257</v>
      </c>
      <c r="B172" s="36">
        <f>(533/30240)+(653*B160/73920)+((0.5)+(33*B160/14)+(39*(B160^2)/28)+(25*(B160^3)/84))/B163</f>
        <v>0.5231378892301795</v>
      </c>
      <c r="C172" s="2" t="s">
        <v>218</v>
      </c>
      <c r="D172" s="22">
        <f t="shared" si="1"/>
        <v>0.5231378892301795</v>
      </c>
      <c r="E172" s="2" t="s">
        <v>218</v>
      </c>
      <c r="F172" s="148" t="s">
        <v>258</v>
      </c>
      <c r="G172" s="149"/>
      <c r="H172" s="149"/>
      <c r="I172" s="149"/>
      <c r="J172" s="149"/>
      <c r="K172" s="150"/>
    </row>
    <row r="173" spans="1:11" ht="12.75">
      <c r="A173" s="1" t="s">
        <v>259</v>
      </c>
      <c r="B173" s="36">
        <f>(0.00767195767195767)+(3*B160/704)-((0.5+33*B160/14)+(81*(B160^2)/28)+(13*(B160^3)/12))/B163</f>
        <v>-0.8191695224455393</v>
      </c>
      <c r="C173" s="2" t="s">
        <v>218</v>
      </c>
      <c r="D173" s="22">
        <f t="shared" si="1"/>
        <v>-0.8191695224455393</v>
      </c>
      <c r="E173" s="2" t="s">
        <v>218</v>
      </c>
      <c r="F173" s="148" t="s">
        <v>260</v>
      </c>
      <c r="G173" s="149"/>
      <c r="H173" s="149"/>
      <c r="I173" s="149"/>
      <c r="J173" s="149"/>
      <c r="K173" s="150"/>
    </row>
    <row r="174" spans="1:11" ht="12.75">
      <c r="A174" s="1" t="s">
        <v>261</v>
      </c>
      <c r="B174" s="36">
        <f>(0.00512566137566138)+(1763*B160/665280)+((0.5)+(6*B160/7)+(15*(B160^2)/28)+(5*(B160^3)/42))/B163</f>
        <v>0.2156104694774037</v>
      </c>
      <c r="C174" s="2" t="s">
        <v>218</v>
      </c>
      <c r="D174" s="22">
        <f t="shared" si="1"/>
        <v>0.2156104694774037</v>
      </c>
      <c r="E174" s="2" t="s">
        <v>218</v>
      </c>
      <c r="F174" s="148" t="s">
        <v>262</v>
      </c>
      <c r="G174" s="149"/>
      <c r="H174" s="149"/>
      <c r="I174" s="149"/>
      <c r="J174" s="149"/>
      <c r="K174" s="150"/>
    </row>
    <row r="175" spans="1:11" ht="12.75">
      <c r="A175" s="1" t="s">
        <v>263</v>
      </c>
      <c r="B175" s="36">
        <f>(0.000341880341880342)+(71*B160/300300)+((0.228571428571429)+(18*B160/35)+(156*(B160^2)/385)+(6*(B160^3)/55))/B163</f>
        <v>0.1377238574188158</v>
      </c>
      <c r="C175" s="2" t="s">
        <v>218</v>
      </c>
      <c r="D175" s="22">
        <f t="shared" si="1"/>
        <v>0.1377238574188158</v>
      </c>
      <c r="E175" s="2" t="s">
        <v>218</v>
      </c>
      <c r="F175" s="148" t="s">
        <v>264</v>
      </c>
      <c r="G175" s="149"/>
      <c r="H175" s="149"/>
      <c r="I175" s="149"/>
      <c r="J175" s="149"/>
      <c r="K175" s="150"/>
    </row>
    <row r="176" spans="1:11" ht="12.75">
      <c r="A176" s="1" t="s">
        <v>265</v>
      </c>
      <c r="B176" s="36">
        <f>(761/831600)+(937*B160/1663200)+((0.0285714285714286)+(6*B160/35)+(11*(B160^2)/70)+(3*(B160^3)/70))/B163</f>
        <v>0.048216950585306416</v>
      </c>
      <c r="C176" s="2" t="s">
        <v>218</v>
      </c>
      <c r="D176" s="22">
        <f t="shared" si="1"/>
        <v>0.048216950585306416</v>
      </c>
      <c r="E176" s="2" t="s">
        <v>218</v>
      </c>
      <c r="F176" s="148" t="s">
        <v>266</v>
      </c>
      <c r="G176" s="149"/>
      <c r="H176" s="149"/>
      <c r="I176" s="149"/>
      <c r="J176" s="149"/>
      <c r="K176" s="150"/>
    </row>
    <row r="177" spans="1:11" ht="12.75">
      <c r="A177" s="1" t="s">
        <v>267</v>
      </c>
      <c r="B177" s="36">
        <f>(197/415800)+(103*B160/332640)-((1/35)+(6*B160/35)+(17*(B160^2)/70)+((B160^3)/10))/B163</f>
        <v>-0.06724401432201618</v>
      </c>
      <c r="C177" s="2" t="s">
        <v>218</v>
      </c>
      <c r="D177" s="22">
        <f t="shared" si="1"/>
        <v>-0.06724401432201618</v>
      </c>
      <c r="E177" s="2" t="s">
        <v>218</v>
      </c>
      <c r="F177" s="148" t="s">
        <v>268</v>
      </c>
      <c r="G177" s="149"/>
      <c r="H177" s="149"/>
      <c r="I177" s="149"/>
      <c r="J177" s="149"/>
      <c r="K177" s="150"/>
    </row>
    <row r="178" spans="1:11" ht="12.75">
      <c r="A178" s="1" t="s">
        <v>269</v>
      </c>
      <c r="B178" s="36">
        <f>(233/831600)+(97*B160/554400)+((0.0285714285714286)+(3*B160/35)+((B160^2)/14)+(2*(B160^3)/105))/B163</f>
        <v>0.023385565150437295</v>
      </c>
      <c r="C178" s="2" t="s">
        <v>218</v>
      </c>
      <c r="D178" s="22">
        <f t="shared" si="1"/>
        <v>0.023385565150437295</v>
      </c>
      <c r="E178" s="2" t="s">
        <v>218</v>
      </c>
      <c r="F178" s="148" t="s">
        <v>270</v>
      </c>
      <c r="G178" s="149"/>
      <c r="H178" s="149"/>
      <c r="I178" s="149"/>
      <c r="J178" s="149"/>
      <c r="K178" s="150"/>
    </row>
    <row r="179" spans="1:11" ht="12.75">
      <c r="A179" s="1" t="s">
        <v>271</v>
      </c>
      <c r="B179" s="36">
        <f>(B164*B170*B175)+(B165*B171*B166)+(B166*B171*B165)-(((B166^2)*B170)+((B171^2)*B164)+((B165^2)*B175))</f>
        <v>0.10066118867197457</v>
      </c>
      <c r="C179" s="2" t="s">
        <v>218</v>
      </c>
      <c r="D179" s="22">
        <f t="shared" si="1"/>
        <v>0.10066118867197457</v>
      </c>
      <c r="E179" s="2" t="s">
        <v>218</v>
      </c>
      <c r="F179" s="148" t="s">
        <v>272</v>
      </c>
      <c r="G179" s="149"/>
      <c r="H179" s="149"/>
      <c r="I179" s="149"/>
      <c r="J179" s="149"/>
      <c r="K179" s="150"/>
    </row>
    <row r="180" spans="1:11" ht="12.75">
      <c r="A180" s="1" t="s">
        <v>273</v>
      </c>
      <c r="B180" s="36">
        <f>((B167*B170*B175)+(B165*B171*B176)+(B166*B171*B172)-((B176*B170*B166)+((B171^2)*B167)+(B175*B165*B172)))/B179</f>
        <v>0.8418819702850444</v>
      </c>
      <c r="C180" s="2" t="s">
        <v>218</v>
      </c>
      <c r="D180" s="22">
        <f t="shared" si="1"/>
        <v>0.8418819702850444</v>
      </c>
      <c r="E180" s="2" t="s">
        <v>218</v>
      </c>
      <c r="F180" s="148" t="s">
        <v>274</v>
      </c>
      <c r="G180" s="149"/>
      <c r="H180" s="149"/>
      <c r="I180" s="149"/>
      <c r="J180" s="149"/>
      <c r="K180" s="150"/>
    </row>
    <row r="181" spans="1:11" ht="12.75">
      <c r="A181" s="1" t="s">
        <v>275</v>
      </c>
      <c r="B181" s="36">
        <f>((B168*B170*B175)+(B165*B171*B177)+(B166*B171*B173)-((B177*B170*B166)+((B171^2)*B168)+(B175*B165*B173)))/B179</f>
        <v>-1.968138456056434</v>
      </c>
      <c r="C181" s="2" t="s">
        <v>218</v>
      </c>
      <c r="D181" s="22">
        <f t="shared" si="1"/>
        <v>-1.968138456056434</v>
      </c>
      <c r="E181" s="2" t="s">
        <v>218</v>
      </c>
      <c r="F181" s="148" t="s">
        <v>276</v>
      </c>
      <c r="G181" s="149"/>
      <c r="H181" s="149"/>
      <c r="I181" s="149"/>
      <c r="J181" s="149"/>
      <c r="K181" s="150"/>
    </row>
    <row r="182" spans="1:11" ht="12.75">
      <c r="A182" s="1" t="s">
        <v>277</v>
      </c>
      <c r="B182" s="36">
        <f>((B169*B170*B175)+(B165*B171*B178)+(B166*B171*B174)-((B178*B170*B166)+((B171^2)*B169)+(B175*B165*B174)))/B179</f>
        <v>0.158464422770543</v>
      </c>
      <c r="C182" s="2" t="s">
        <v>218</v>
      </c>
      <c r="D182" s="22">
        <f t="shared" si="1"/>
        <v>0.158464422770543</v>
      </c>
      <c r="E182" s="2" t="s">
        <v>218</v>
      </c>
      <c r="F182" s="148" t="s">
        <v>278</v>
      </c>
      <c r="G182" s="149"/>
      <c r="H182" s="149"/>
      <c r="I182" s="149"/>
      <c r="J182" s="149"/>
      <c r="K182" s="150"/>
    </row>
    <row r="183" spans="1:11" ht="12.75">
      <c r="A183" s="1" t="s">
        <v>279</v>
      </c>
      <c r="B183" s="36">
        <f>((B164*B172*B175)+(B167*B171*B166)+(B166*B176*B165)-(((B166^2)*B172)+(B176*B171*B164)+(B175*B167*B165)))/B179</f>
        <v>0.11435442993254374</v>
      </c>
      <c r="C183" s="2" t="s">
        <v>218</v>
      </c>
      <c r="D183" s="22">
        <f t="shared" si="1"/>
        <v>0.11435442993254374</v>
      </c>
      <c r="E183" s="2" t="s">
        <v>218</v>
      </c>
      <c r="F183" s="148" t="s">
        <v>280</v>
      </c>
      <c r="G183" s="149"/>
      <c r="H183" s="149"/>
      <c r="I183" s="149"/>
      <c r="J183" s="149"/>
      <c r="K183" s="150"/>
    </row>
    <row r="184" spans="1:11" ht="12.75">
      <c r="A184" s="1" t="s">
        <v>281</v>
      </c>
      <c r="B184" s="36">
        <f>((B164*B173*B175)+(B168*B171*B166)+(B166*B177*B165)-(((B166^2)*B173)+(B177*B171*B164)+(B175*B168*B165)))/B179</f>
        <v>-0.14042164848036517</v>
      </c>
      <c r="C184" s="2" t="s">
        <v>218</v>
      </c>
      <c r="D184" s="22">
        <f t="shared" si="1"/>
        <v>-0.14042164848036517</v>
      </c>
      <c r="E184" s="2" t="s">
        <v>218</v>
      </c>
      <c r="F184" s="148" t="s">
        <v>282</v>
      </c>
      <c r="G184" s="149"/>
      <c r="H184" s="149"/>
      <c r="I184" s="149"/>
      <c r="J184" s="149"/>
      <c r="K184" s="150"/>
    </row>
    <row r="185" spans="1:11" ht="12.75">
      <c r="A185" s="1" t="s">
        <v>283</v>
      </c>
      <c r="B185" s="36">
        <f>((B164*B174*B175)+(B169*B171*B166)+(B166*B178*B165)-(((B166^2)*B174)+(B178*B171*B164)+(B175*B169*B165)))/B179</f>
        <v>0.05556055008430482</v>
      </c>
      <c r="C185" s="2" t="s">
        <v>218</v>
      </c>
      <c r="D185" s="22">
        <f t="shared" si="1"/>
        <v>0.05556055008430482</v>
      </c>
      <c r="E185" s="2" t="s">
        <v>218</v>
      </c>
      <c r="F185" s="148" t="s">
        <v>284</v>
      </c>
      <c r="G185" s="149"/>
      <c r="H185" s="149"/>
      <c r="I185" s="149"/>
      <c r="J185" s="149"/>
      <c r="K185" s="150"/>
    </row>
    <row r="186" spans="1:11" ht="12.75">
      <c r="A186" s="1" t="s">
        <v>285</v>
      </c>
      <c r="B186" s="36">
        <f>((B164*B170*B176)+(B165*B172*B166)+(B167*B171*B165)-((B166*B170*B167)+(B171*B172*B164)+((B165^2)*B176)))/B179</f>
        <v>-0.18117319068399906</v>
      </c>
      <c r="C186" s="2" t="s">
        <v>218</v>
      </c>
      <c r="D186" s="22">
        <f t="shared" si="1"/>
        <v>-0.18117319068399906</v>
      </c>
      <c r="E186" s="2" t="s">
        <v>218</v>
      </c>
      <c r="F186" s="148" t="s">
        <v>286</v>
      </c>
      <c r="G186" s="149"/>
      <c r="H186" s="149"/>
      <c r="I186" s="149"/>
      <c r="J186" s="149"/>
      <c r="K186" s="150"/>
    </row>
    <row r="187" spans="1:11" ht="12.75">
      <c r="A187" s="1" t="s">
        <v>287</v>
      </c>
      <c r="B187" s="36">
        <f>((B164*B170*B177)+(B165*B173*B166)+(B168*B171*B165)-((B166*B170*B168)+(B171*B173*B164)+((B165^2)*B177)))/B179</f>
        <v>0.22258621529572958</v>
      </c>
      <c r="C187" s="2" t="s">
        <v>218</v>
      </c>
      <c r="D187" s="22">
        <f t="shared" si="1"/>
        <v>0.22258621529572958</v>
      </c>
      <c r="E187" s="2" t="s">
        <v>218</v>
      </c>
      <c r="F187" s="148" t="s">
        <v>288</v>
      </c>
      <c r="G187" s="149"/>
      <c r="H187" s="149"/>
      <c r="I187" s="149"/>
      <c r="J187" s="149"/>
      <c r="K187" s="150"/>
    </row>
    <row r="188" spans="1:11" ht="12.75">
      <c r="A188" s="1" t="s">
        <v>289</v>
      </c>
      <c r="B188" s="36">
        <f>((B164*B170*B178)+(B165*B174*B166)+(B169*B171*B165)-((B166*B170*B169)+(B171*B174*B164)+((B165^2)*B178)))/B179</f>
        <v>-0.0726462216414472</v>
      </c>
      <c r="C188" s="2" t="s">
        <v>218</v>
      </c>
      <c r="D188" s="22">
        <f t="shared" si="1"/>
        <v>-0.0726462216414472</v>
      </c>
      <c r="E188" s="2" t="s">
        <v>218</v>
      </c>
      <c r="F188" s="148" t="s">
        <v>290</v>
      </c>
      <c r="G188" s="149"/>
      <c r="H188" s="149"/>
      <c r="I188" s="149"/>
      <c r="J188" s="149"/>
      <c r="K188" s="150"/>
    </row>
    <row r="189" spans="1:11" ht="12.75">
      <c r="A189" s="1" t="s">
        <v>291</v>
      </c>
      <c r="B189" s="36">
        <f>-(1)*((B163/4)^0.25)</f>
        <v>-1.3845764573791588</v>
      </c>
      <c r="C189" s="2" t="s">
        <v>218</v>
      </c>
      <c r="D189" s="22">
        <f t="shared" si="1"/>
        <v>-1.3845764573791588</v>
      </c>
      <c r="E189" s="2" t="s">
        <v>218</v>
      </c>
      <c r="F189" s="148" t="s">
        <v>292</v>
      </c>
      <c r="G189" s="149"/>
      <c r="H189" s="149"/>
      <c r="I189" s="149"/>
      <c r="J189" s="149"/>
      <c r="K189" s="150"/>
    </row>
    <row r="190" spans="1:11" ht="12.75">
      <c r="A190" s="1" t="s">
        <v>293</v>
      </c>
      <c r="B190" s="36">
        <f>B183-B180-(0.416666666666667)+(B180*B189)</f>
        <v>-2.3098441629678206</v>
      </c>
      <c r="C190" s="2" t="s">
        <v>218</v>
      </c>
      <c r="D190" s="22">
        <f t="shared" si="1"/>
        <v>-2.3098441629678206</v>
      </c>
      <c r="E190" s="2" t="s">
        <v>218</v>
      </c>
      <c r="F190" s="148" t="s">
        <v>294</v>
      </c>
      <c r="G190" s="149"/>
      <c r="H190" s="149"/>
      <c r="I190" s="149"/>
      <c r="J190" s="149"/>
      <c r="K190" s="150"/>
    </row>
    <row r="191" spans="1:11" ht="12.75">
      <c r="A191" s="1" t="s">
        <v>295</v>
      </c>
      <c r="B191" s="36">
        <f>B185-B182-(0.0833333333333333)+(B182*B189)</f>
        <v>-0.40564331511984325</v>
      </c>
      <c r="C191" s="2" t="s">
        <v>218</v>
      </c>
      <c r="D191" s="22">
        <f t="shared" si="1"/>
        <v>-0.40564331511984325</v>
      </c>
      <c r="E191" s="2" t="s">
        <v>218</v>
      </c>
      <c r="F191" s="148" t="s">
        <v>296</v>
      </c>
      <c r="G191" s="149"/>
      <c r="H191" s="149"/>
      <c r="I191" s="149"/>
      <c r="J191" s="149"/>
      <c r="K191" s="150"/>
    </row>
    <row r="192" spans="1:11" ht="12.75">
      <c r="A192" s="1" t="s">
        <v>297</v>
      </c>
      <c r="B192" s="36">
        <f>(-1)*((B163/4)^0.5)</f>
        <v>-1.9170519663286214</v>
      </c>
      <c r="C192" s="2" t="s">
        <v>218</v>
      </c>
      <c r="D192" s="22">
        <f t="shared" si="1"/>
        <v>-1.9170519663286214</v>
      </c>
      <c r="E192" s="2" t="s">
        <v>218</v>
      </c>
      <c r="F192" s="148" t="s">
        <v>298</v>
      </c>
      <c r="G192" s="149"/>
      <c r="H192" s="149"/>
      <c r="I192" s="149"/>
      <c r="J192" s="149"/>
      <c r="K192" s="150"/>
    </row>
    <row r="193" spans="1:11" ht="12.75">
      <c r="A193" s="1" t="s">
        <v>299</v>
      </c>
      <c r="B193" s="36">
        <f>(-1)*((B163/4)^(3/4))</f>
        <v>-2.654305020151033</v>
      </c>
      <c r="C193" s="2" t="s">
        <v>218</v>
      </c>
      <c r="D193" s="22">
        <f t="shared" si="1"/>
        <v>-2.654305020151033</v>
      </c>
      <c r="E193" s="2" t="s">
        <v>218</v>
      </c>
      <c r="F193" s="148" t="s">
        <v>300</v>
      </c>
      <c r="G193" s="149"/>
      <c r="H193" s="149"/>
      <c r="I193" s="149"/>
      <c r="J193" s="149"/>
      <c r="K193" s="150"/>
    </row>
    <row r="194" spans="1:11" ht="12.75">
      <c r="A194" s="1" t="s">
        <v>301</v>
      </c>
      <c r="B194" s="36">
        <f>(3*B160/2)-(B180*B193)</f>
        <v>4.316611540102237</v>
      </c>
      <c r="C194" s="2" t="s">
        <v>218</v>
      </c>
      <c r="D194" s="22">
        <f t="shared" si="1"/>
        <v>4.316611540102237</v>
      </c>
      <c r="E194" s="2" t="s">
        <v>218</v>
      </c>
      <c r="F194" s="148" t="s">
        <v>302</v>
      </c>
      <c r="G194" s="149"/>
      <c r="H194" s="149"/>
      <c r="I194" s="149"/>
      <c r="J194" s="149"/>
      <c r="K194" s="150"/>
    </row>
    <row r="195" spans="1:11" ht="12.75">
      <c r="A195" s="1" t="s">
        <v>303</v>
      </c>
      <c r="B195" s="36">
        <f>0.5-(B182*B193)</f>
        <v>0.9206129128751881</v>
      </c>
      <c r="C195" s="2" t="s">
        <v>218</v>
      </c>
      <c r="D195" s="22">
        <f t="shared" si="1"/>
        <v>0.9206129128751881</v>
      </c>
      <c r="E195" s="2" t="s">
        <v>218</v>
      </c>
      <c r="F195" s="148" t="s">
        <v>304</v>
      </c>
      <c r="G195" s="149"/>
      <c r="H195" s="149"/>
      <c r="I195" s="149"/>
      <c r="J195" s="149"/>
      <c r="K195" s="150"/>
    </row>
    <row r="196" spans="1:11" ht="12.75">
      <c r="A196" s="1" t="s">
        <v>305</v>
      </c>
      <c r="B196" s="36">
        <f>(0.5*B189*B195)+(B191*B194*B192)-((0.5*B193*B191)+(B195*B190*B192))</f>
        <v>-1.8954712111124632</v>
      </c>
      <c r="C196" s="2" t="s">
        <v>218</v>
      </c>
      <c r="D196" s="22">
        <f t="shared" si="1"/>
        <v>-1.8954712111124632</v>
      </c>
      <c r="E196" s="2" t="s">
        <v>218</v>
      </c>
      <c r="F196" s="148" t="s">
        <v>306</v>
      </c>
      <c r="G196" s="149"/>
      <c r="H196" s="149"/>
      <c r="I196" s="149"/>
      <c r="J196" s="149"/>
      <c r="K196" s="150"/>
    </row>
    <row r="197" spans="1:11" ht="12.75">
      <c r="A197" s="1" t="s">
        <v>307</v>
      </c>
      <c r="B197" s="36">
        <f>0.0833333333333333+B181-B184-(B181*B189)</f>
        <v>-4.46942164536104</v>
      </c>
      <c r="C197" s="2" t="s">
        <v>218</v>
      </c>
      <c r="D197" s="22">
        <f t="shared" si="1"/>
        <v>-4.46942164536104</v>
      </c>
      <c r="E197" s="2" t="s">
        <v>218</v>
      </c>
      <c r="F197" s="148" t="s">
        <v>308</v>
      </c>
      <c r="G197" s="149"/>
      <c r="H197" s="149"/>
      <c r="I197" s="149"/>
      <c r="J197" s="149"/>
      <c r="K197" s="150"/>
    </row>
    <row r="198" spans="1:11" ht="14.25" customHeight="1">
      <c r="A198" s="1" t="s">
        <v>309</v>
      </c>
      <c r="B198" s="36">
        <f>(-1)*B181*((B163/4)^0.75)</f>
        <v>5.224039784262896</v>
      </c>
      <c r="C198" s="2" t="s">
        <v>218</v>
      </c>
      <c r="D198" s="22">
        <f t="shared" si="1"/>
        <v>5.224039784262896</v>
      </c>
      <c r="E198" s="2" t="s">
        <v>218</v>
      </c>
      <c r="F198" s="148" t="s">
        <v>310</v>
      </c>
      <c r="G198" s="149"/>
      <c r="H198" s="149"/>
      <c r="I198" s="149"/>
      <c r="J198" s="149"/>
      <c r="K198" s="150"/>
    </row>
    <row r="199" spans="1:11" ht="12.75">
      <c r="A199" s="1" t="s">
        <v>311</v>
      </c>
      <c r="B199" s="36">
        <f>((B191*B198*B192)-(B195*B197*B192))/B196</f>
        <v>2.0182302085396184</v>
      </c>
      <c r="C199" s="2" t="s">
        <v>218</v>
      </c>
      <c r="D199" s="22">
        <f t="shared" si="1"/>
        <v>2.0182302085396184</v>
      </c>
      <c r="E199" s="2" t="s">
        <v>218</v>
      </c>
      <c r="F199" s="148" t="s">
        <v>312</v>
      </c>
      <c r="G199" s="149"/>
      <c r="H199" s="149"/>
      <c r="I199" s="149"/>
      <c r="J199" s="149"/>
      <c r="K199" s="150"/>
    </row>
    <row r="200" spans="1:11" ht="12.75">
      <c r="A200" s="1" t="s">
        <v>313</v>
      </c>
      <c r="B200" s="36">
        <f>((0.5*B189*B198)+(B197*B194*B192)-((0.5*B193*B197)+(B198*B190*B192)))/B196</f>
        <v>-2.2709642446954375</v>
      </c>
      <c r="C200" s="2" t="s">
        <v>218</v>
      </c>
      <c r="D200" s="22">
        <f t="shared" si="1"/>
        <v>-2.2709642446954375</v>
      </c>
      <c r="E200" s="2" t="s">
        <v>218</v>
      </c>
      <c r="F200" s="148" t="s">
        <v>314</v>
      </c>
      <c r="G200" s="149"/>
      <c r="H200" s="149"/>
      <c r="I200" s="149"/>
      <c r="J200" s="149"/>
      <c r="K200" s="150"/>
    </row>
    <row r="201" spans="1:11" ht="12.75">
      <c r="A201" s="1" t="s">
        <v>315</v>
      </c>
      <c r="B201" s="36">
        <f>(B180*B199)+B181+(B182*B200)</f>
        <v>-0.6288938697705087</v>
      </c>
      <c r="C201" s="2" t="s">
        <v>218</v>
      </c>
      <c r="D201" s="22">
        <f t="shared" si="1"/>
        <v>-0.6288938697705087</v>
      </c>
      <c r="E201" s="2" t="s">
        <v>218</v>
      </c>
      <c r="F201" s="148" t="s">
        <v>316</v>
      </c>
      <c r="G201" s="149"/>
      <c r="H201" s="149"/>
      <c r="I201" s="149"/>
      <c r="J201" s="149"/>
      <c r="K201" s="150"/>
    </row>
    <row r="202" spans="1:11" ht="12.75">
      <c r="A202" s="1" t="s">
        <v>317</v>
      </c>
      <c r="B202" s="36">
        <f>(B183*B199)+B184+(B185*B200)</f>
        <v>-0.035804106167244554</v>
      </c>
      <c r="C202" s="2" t="s">
        <v>218</v>
      </c>
      <c r="D202" s="22">
        <f t="shared" si="1"/>
        <v>-0.035804106167244554</v>
      </c>
      <c r="E202" s="2" t="s">
        <v>218</v>
      </c>
      <c r="F202" s="148" t="s">
        <v>318</v>
      </c>
      <c r="G202" s="149"/>
      <c r="H202" s="149"/>
      <c r="I202" s="149"/>
      <c r="J202" s="149"/>
      <c r="K202" s="150"/>
    </row>
    <row r="203" spans="1:11" ht="12.75">
      <c r="A203" s="1" t="s">
        <v>319</v>
      </c>
      <c r="B203" s="36">
        <f>(B186*B199)+B187+(B188*B200)</f>
        <v>0.021913980739720562</v>
      </c>
      <c r="C203" s="2" t="s">
        <v>218</v>
      </c>
      <c r="D203" s="22">
        <f t="shared" si="1"/>
        <v>0.021913980739720562</v>
      </c>
      <c r="E203" s="2" t="s">
        <v>218</v>
      </c>
      <c r="F203" s="148" t="s">
        <v>320</v>
      </c>
      <c r="G203" s="149"/>
      <c r="H203" s="149"/>
      <c r="I203" s="149"/>
      <c r="J203" s="149"/>
      <c r="K203" s="150"/>
    </row>
    <row r="204" spans="1:11" ht="12.75">
      <c r="A204" s="1" t="s">
        <v>321</v>
      </c>
      <c r="B204" s="36">
        <f>0.25+(B200/12)+(B199/4)-(B203/5)-(3*B202/2)-B201</f>
        <v>1.2435277646170495</v>
      </c>
      <c r="C204" s="2" t="s">
        <v>218</v>
      </c>
      <c r="D204" s="22">
        <f t="shared" si="1"/>
        <v>1.2435277646170495</v>
      </c>
      <c r="E204" s="2" t="s">
        <v>218</v>
      </c>
      <c r="F204" s="148" t="s">
        <v>322</v>
      </c>
      <c r="G204" s="149"/>
      <c r="H204" s="149"/>
      <c r="I204" s="149"/>
      <c r="J204" s="149"/>
      <c r="K204" s="150"/>
    </row>
    <row r="205" spans="1:11" ht="12.75">
      <c r="A205" s="1" t="s">
        <v>323</v>
      </c>
      <c r="B205" s="36">
        <f>B201*(0.5+B160/6)+(B202*(0.25+(11*B160/84)))+(B203*((0.0142857142857143)+(B160/105)))</f>
        <v>-0.47478716034660073</v>
      </c>
      <c r="C205" s="2" t="s">
        <v>218</v>
      </c>
      <c r="D205" s="22">
        <f t="shared" si="1"/>
        <v>-0.47478716034660073</v>
      </c>
      <c r="E205" s="2" t="s">
        <v>218</v>
      </c>
      <c r="F205" s="148" t="s">
        <v>324</v>
      </c>
      <c r="G205" s="149"/>
      <c r="H205" s="149"/>
      <c r="I205" s="149"/>
      <c r="J205" s="149"/>
      <c r="K205" s="150"/>
    </row>
    <row r="206" spans="1:11" ht="12.75">
      <c r="A206" s="1" t="s">
        <v>325</v>
      </c>
      <c r="B206" s="36">
        <f>B205-(B199*((7/120)+(B160/36)+(3*B160/B163)))-(1/40)-(B160/72)-(B200*((1/60)+(B160/120)+(1/B163)))</f>
        <v>-1.0676893468497646</v>
      </c>
      <c r="C206" s="2" t="s">
        <v>218</v>
      </c>
      <c r="D206" s="22">
        <f t="shared" si="1"/>
        <v>-1.0676893468497646</v>
      </c>
      <c r="E206" s="2" t="s">
        <v>218</v>
      </c>
      <c r="F206" s="148" t="s">
        <v>326</v>
      </c>
      <c r="G206" s="149"/>
      <c r="H206" s="149"/>
      <c r="I206" s="149"/>
      <c r="J206" s="149"/>
      <c r="K206" s="150"/>
    </row>
    <row r="207" spans="1:11" ht="12.75">
      <c r="A207" s="1" t="s">
        <v>327</v>
      </c>
      <c r="B207" s="36">
        <f>B204/(((2.73/B163)^0.25)*((1+B160)^3))</f>
        <v>0.13910533864597283</v>
      </c>
      <c r="C207" s="2" t="s">
        <v>218</v>
      </c>
      <c r="D207" s="22">
        <f t="shared" si="1"/>
        <v>0.13910533864597283</v>
      </c>
      <c r="E207" s="2" t="s">
        <v>218</v>
      </c>
      <c r="F207" s="148" t="s">
        <v>328</v>
      </c>
      <c r="G207" s="149"/>
      <c r="H207" s="149"/>
      <c r="I207" s="149"/>
      <c r="J207" s="149"/>
      <c r="K207" s="150"/>
    </row>
    <row r="208" spans="1:11" ht="12.75">
      <c r="A208" s="1" t="s">
        <v>329</v>
      </c>
      <c r="B208" s="36">
        <f>-(1)*B206/(((B163/2.73)^0.25)*(((1+B160)^3)/B163))</f>
        <v>0.7566210607037143</v>
      </c>
      <c r="C208" s="2" t="s">
        <v>218</v>
      </c>
      <c r="D208" s="22">
        <f t="shared" si="1"/>
        <v>0.7566210607037143</v>
      </c>
      <c r="E208" s="2" t="s">
        <v>218</v>
      </c>
      <c r="F208" s="148" t="s">
        <v>330</v>
      </c>
      <c r="G208" s="149"/>
      <c r="H208" s="149"/>
      <c r="I208" s="149"/>
      <c r="J208" s="149"/>
      <c r="K208" s="150"/>
    </row>
    <row r="209" spans="1:11" ht="21.75" customHeight="1">
      <c r="A209" s="10" t="s">
        <v>331</v>
      </c>
      <c r="B209" s="36">
        <f>-(1)*((B181*(0.5+(B160/6)))+(B184*(0.25+(11*B160/84)))+(B187*((1/70)+(B160/105)))-((1/40)+(B160/72)))/(((B163/2.73)^0.25)*(((1+B160)^3)/B163))</f>
        <v>1.0900140240037746</v>
      </c>
      <c r="C209" s="13" t="s">
        <v>218</v>
      </c>
      <c r="D209" s="22">
        <f t="shared" si="1"/>
        <v>1.0900140240037746</v>
      </c>
      <c r="E209" s="13" t="s">
        <v>218</v>
      </c>
      <c r="F209" s="174" t="s">
        <v>332</v>
      </c>
      <c r="G209" s="175"/>
      <c r="H209" s="175"/>
      <c r="I209" s="175"/>
      <c r="J209" s="175"/>
      <c r="K209" s="176"/>
    </row>
    <row r="210" spans="1:11" ht="12.75">
      <c r="A210" s="1" t="s">
        <v>333</v>
      </c>
      <c r="B210" s="36">
        <f>(0.25-(B187/5)-(3*B184/2)-B181)/(((2.73/B163)^0.25)*((1+B160)^3))</f>
        <v>0.2667109057044862</v>
      </c>
      <c r="C210" s="13" t="s">
        <v>218</v>
      </c>
      <c r="D210" s="22">
        <f t="shared" si="1"/>
        <v>0.2667109057044862</v>
      </c>
      <c r="E210" s="13" t="s">
        <v>218</v>
      </c>
      <c r="F210" s="148" t="s">
        <v>334</v>
      </c>
      <c r="G210" s="149"/>
      <c r="H210" s="149"/>
      <c r="I210" s="149"/>
      <c r="J210" s="149"/>
      <c r="K210" s="150"/>
    </row>
    <row r="211" spans="1:11" ht="12.75">
      <c r="A211" s="1" t="s">
        <v>335</v>
      </c>
      <c r="B211" s="36">
        <f>IF((B199/(1+B160))&lt;1,1,(B199/(1+B160)))</f>
        <v>1</v>
      </c>
      <c r="C211" s="13" t="s">
        <v>218</v>
      </c>
      <c r="D211" s="22">
        <f t="shared" si="1"/>
        <v>1</v>
      </c>
      <c r="E211" s="13" t="s">
        <v>218</v>
      </c>
      <c r="F211" s="148" t="s">
        <v>336</v>
      </c>
      <c r="G211" s="149"/>
      <c r="H211" s="149"/>
      <c r="I211" s="149"/>
      <c r="J211" s="149"/>
      <c r="K211" s="150"/>
    </row>
    <row r="212" spans="1:11" ht="12.75">
      <c r="A212" s="1" t="s">
        <v>5</v>
      </c>
      <c r="B212" s="36">
        <f>((B213^2)*(1+8.55246*(LOG(B213,10)))-1)/((1.0472+(1.9448*(B213^2)))*(B213-1))</f>
        <v>1.8361987132724895</v>
      </c>
      <c r="C212" s="2" t="s">
        <v>218</v>
      </c>
      <c r="D212" s="22">
        <f t="shared" si="1"/>
        <v>1.8361987132724895</v>
      </c>
      <c r="E212" s="2" t="s">
        <v>218</v>
      </c>
      <c r="F212" s="148" t="s">
        <v>337</v>
      </c>
      <c r="G212" s="149"/>
      <c r="H212" s="149"/>
      <c r="I212" s="149"/>
      <c r="J212" s="149"/>
      <c r="K212" s="150"/>
    </row>
    <row r="213" spans="1:11" ht="12.75">
      <c r="A213" s="1" t="s">
        <v>338</v>
      </c>
      <c r="B213" s="36">
        <f>+B57/B56</f>
        <v>1.206842105263158</v>
      </c>
      <c r="C213" s="2" t="s">
        <v>218</v>
      </c>
      <c r="D213" s="22">
        <f t="shared" si="1"/>
        <v>1.206842105263158</v>
      </c>
      <c r="E213" s="2" t="s">
        <v>218</v>
      </c>
      <c r="F213" s="148" t="s">
        <v>339</v>
      </c>
      <c r="G213" s="149"/>
      <c r="H213" s="149"/>
      <c r="I213" s="149"/>
      <c r="J213" s="149"/>
      <c r="K213" s="150"/>
    </row>
    <row r="214" spans="1:11" ht="12.75">
      <c r="A214" s="1" t="s">
        <v>340</v>
      </c>
      <c r="B214" s="36">
        <f>((B213^2)*(1+8.55246*(LOG(B213,10)))-1)/(1.36136*((B213^2)-1)*(B213-1))</f>
        <v>11.464073446113284</v>
      </c>
      <c r="C214" s="2" t="s">
        <v>218</v>
      </c>
      <c r="D214" s="22">
        <f t="shared" si="1"/>
        <v>11.464073446113284</v>
      </c>
      <c r="E214" s="2" t="s">
        <v>218</v>
      </c>
      <c r="F214" s="148" t="s">
        <v>341</v>
      </c>
      <c r="G214" s="149"/>
      <c r="H214" s="149"/>
      <c r="I214" s="149"/>
      <c r="J214" s="149"/>
      <c r="K214" s="150"/>
    </row>
    <row r="215" spans="1:11" ht="12.75">
      <c r="A215" s="1" t="s">
        <v>342</v>
      </c>
      <c r="B215" s="36">
        <f>(1/(B213-1))*(0.66845+(5.7169*(B213^2)*(LOG(B213,10))/((B213^2)-1)))</f>
        <v>10.43232957334133</v>
      </c>
      <c r="C215" s="2" t="s">
        <v>218</v>
      </c>
      <c r="D215" s="22">
        <f t="shared" si="1"/>
        <v>10.43232957334133</v>
      </c>
      <c r="E215" s="2" t="s">
        <v>218</v>
      </c>
      <c r="F215" s="148" t="s">
        <v>343</v>
      </c>
      <c r="G215" s="149"/>
      <c r="H215" s="149"/>
      <c r="I215" s="149"/>
      <c r="J215" s="149"/>
      <c r="K215" s="150"/>
    </row>
    <row r="216" spans="1:11" ht="12.75">
      <c r="A216" s="1" t="s">
        <v>344</v>
      </c>
      <c r="B216" s="36">
        <f>((B213^2)+1)/((B213^2)-1)</f>
        <v>5.381469418617845</v>
      </c>
      <c r="C216" s="2" t="s">
        <v>218</v>
      </c>
      <c r="D216" s="22">
        <f t="shared" si="1"/>
        <v>5.381469418617845</v>
      </c>
      <c r="E216" s="2" t="s">
        <v>218</v>
      </c>
      <c r="F216" s="148" t="s">
        <v>345</v>
      </c>
      <c r="G216" s="149"/>
      <c r="H216" s="149"/>
      <c r="I216" s="149"/>
      <c r="J216" s="149"/>
      <c r="K216" s="150"/>
    </row>
    <row r="217" spans="1:11" ht="12.75">
      <c r="A217" s="1" t="s">
        <v>346</v>
      </c>
      <c r="B217" s="36">
        <f>B208/B159</f>
        <v>0.08817903415885886</v>
      </c>
      <c r="C217" s="2" t="s">
        <v>111</v>
      </c>
      <c r="D217" s="22">
        <f>B217/25.4</f>
        <v>0.0034716155180653098</v>
      </c>
      <c r="E217" s="7" t="s">
        <v>112</v>
      </c>
      <c r="F217" s="148" t="s">
        <v>347</v>
      </c>
      <c r="G217" s="149"/>
      <c r="H217" s="149"/>
      <c r="I217" s="149"/>
      <c r="J217" s="149"/>
      <c r="K217" s="150"/>
    </row>
    <row r="218" spans="1:11" ht="12.75">
      <c r="A218" s="1" t="s">
        <v>348</v>
      </c>
      <c r="B218" s="36">
        <f>B209/B159</f>
        <v>0.12703371456098328</v>
      </c>
      <c r="C218" s="2" t="s">
        <v>111</v>
      </c>
      <c r="D218" s="22">
        <f>B218/25.4</f>
        <v>0.0050013273449206015</v>
      </c>
      <c r="E218" s="7" t="s">
        <v>112</v>
      </c>
      <c r="F218" s="148" t="s">
        <v>349</v>
      </c>
      <c r="G218" s="149"/>
      <c r="H218" s="149"/>
      <c r="I218" s="149"/>
      <c r="J218" s="149"/>
      <c r="K218" s="150"/>
    </row>
    <row r="219" spans="1:11" ht="12.75">
      <c r="A219" s="1" t="s">
        <v>350</v>
      </c>
      <c r="B219" s="36">
        <f>(B214/B207)*B159*(B54^2)</f>
        <v>685.0477341532214</v>
      </c>
      <c r="C219" s="2" t="s">
        <v>351</v>
      </c>
      <c r="D219" s="24">
        <f>B219*25.4*25.4*25.4</f>
        <v>11225921.062623825</v>
      </c>
      <c r="E219" s="7" t="s">
        <v>352</v>
      </c>
      <c r="F219" s="148" t="s">
        <v>353</v>
      </c>
      <c r="G219" s="149"/>
      <c r="H219" s="149"/>
      <c r="I219" s="149"/>
      <c r="J219" s="149"/>
      <c r="K219" s="150"/>
    </row>
    <row r="220" spans="1:11" ht="12.75">
      <c r="A220" s="1" t="s">
        <v>354</v>
      </c>
      <c r="B220" s="36">
        <f>(B214/B210)*B159*(B54^2)</f>
        <v>357.2924653993156</v>
      </c>
      <c r="C220" s="2" t="s">
        <v>351</v>
      </c>
      <c r="D220" s="24">
        <f>B220*25.4*25.4*25.4</f>
        <v>5854974.497216368</v>
      </c>
      <c r="E220" s="7" t="s">
        <v>352</v>
      </c>
      <c r="F220" s="148" t="s">
        <v>355</v>
      </c>
      <c r="G220" s="149"/>
      <c r="H220" s="149"/>
      <c r="I220" s="149"/>
      <c r="J220" s="149"/>
      <c r="K220" s="150"/>
    </row>
    <row r="221" spans="1:11" ht="12.75">
      <c r="A221" s="1" t="s">
        <v>356</v>
      </c>
      <c r="B221" s="36">
        <f>(((B61*B217)+1)/B212)+((B61^3)/B219)</f>
        <v>1.1209813464277771</v>
      </c>
      <c r="C221" s="2" t="s">
        <v>218</v>
      </c>
      <c r="D221" s="22">
        <f t="shared" si="1"/>
        <v>1.1209813464277771</v>
      </c>
      <c r="E221" s="2" t="s">
        <v>218</v>
      </c>
      <c r="F221" s="148" t="s">
        <v>357</v>
      </c>
      <c r="G221" s="149"/>
      <c r="H221" s="149"/>
      <c r="I221" s="149"/>
      <c r="J221" s="149"/>
      <c r="K221" s="150"/>
    </row>
    <row r="222" spans="1:11" ht="12.75">
      <c r="A222" s="1" t="s">
        <v>358</v>
      </c>
      <c r="B222" s="36">
        <f>(((B61*B218)+1)/B212)+((B61^3)/B220)</f>
        <v>1.5154215232064807</v>
      </c>
      <c r="C222" s="2" t="s">
        <v>218</v>
      </c>
      <c r="D222" s="22">
        <f>B222</f>
        <v>1.5154215232064807</v>
      </c>
      <c r="E222" s="2" t="s">
        <v>218</v>
      </c>
      <c r="F222" s="148" t="s">
        <v>359</v>
      </c>
      <c r="G222" s="149"/>
      <c r="H222" s="149"/>
      <c r="I222" s="149"/>
      <c r="J222" s="149"/>
      <c r="K222" s="150"/>
    </row>
  </sheetData>
  <sheetProtection password="C7F9" sheet="1" objects="1" scenarios="1"/>
  <mergeCells count="255">
    <mergeCell ref="A1:I1"/>
    <mergeCell ref="J1:K1"/>
    <mergeCell ref="A2:I2"/>
    <mergeCell ref="J2:K2"/>
    <mergeCell ref="A6:E6"/>
    <mergeCell ref="F6:K6"/>
    <mergeCell ref="A7:E7"/>
    <mergeCell ref="F7:K7"/>
    <mergeCell ref="A3:K3"/>
    <mergeCell ref="A4:K4"/>
    <mergeCell ref="A5:E5"/>
    <mergeCell ref="F5:K5"/>
    <mergeCell ref="A8:E8"/>
    <mergeCell ref="F8:K8"/>
    <mergeCell ref="A9:K9"/>
    <mergeCell ref="B10:C10"/>
    <mergeCell ref="D10:E10"/>
    <mergeCell ref="F10:K10"/>
    <mergeCell ref="F15:K15"/>
    <mergeCell ref="F16:K16"/>
    <mergeCell ref="F17:K17"/>
    <mergeCell ref="F18:K18"/>
    <mergeCell ref="F11:K11"/>
    <mergeCell ref="F12:K12"/>
    <mergeCell ref="F13:K13"/>
    <mergeCell ref="F14:K14"/>
    <mergeCell ref="F23:K23"/>
    <mergeCell ref="F24:K24"/>
    <mergeCell ref="F25:K25"/>
    <mergeCell ref="F26:K26"/>
    <mergeCell ref="F19:K19"/>
    <mergeCell ref="F20:K20"/>
    <mergeCell ref="F21:K21"/>
    <mergeCell ref="F22:K22"/>
    <mergeCell ref="A31:K31"/>
    <mergeCell ref="F32:K32"/>
    <mergeCell ref="F33:K33"/>
    <mergeCell ref="F34:K34"/>
    <mergeCell ref="F27:K27"/>
    <mergeCell ref="A28:K28"/>
    <mergeCell ref="F29:K29"/>
    <mergeCell ref="F30:K30"/>
    <mergeCell ref="F40:K40"/>
    <mergeCell ref="F41:K41"/>
    <mergeCell ref="A42:B42"/>
    <mergeCell ref="C42:K42"/>
    <mergeCell ref="F36:K36"/>
    <mergeCell ref="F37:K37"/>
    <mergeCell ref="F38:K38"/>
    <mergeCell ref="F39:K39"/>
    <mergeCell ref="A47:K47"/>
    <mergeCell ref="A48:K48"/>
    <mergeCell ref="A49:K49"/>
    <mergeCell ref="A50:K50"/>
    <mergeCell ref="F43:K43"/>
    <mergeCell ref="F44:K44"/>
    <mergeCell ref="F45:K45"/>
    <mergeCell ref="A46:K46"/>
    <mergeCell ref="F55:K55"/>
    <mergeCell ref="F56:K56"/>
    <mergeCell ref="F57:K57"/>
    <mergeCell ref="F58:K58"/>
    <mergeCell ref="C51:K51"/>
    <mergeCell ref="F52:K52"/>
    <mergeCell ref="F53:K53"/>
    <mergeCell ref="F54:K54"/>
    <mergeCell ref="F63:K63"/>
    <mergeCell ref="F64:K64"/>
    <mergeCell ref="F65:K65"/>
    <mergeCell ref="F66:K66"/>
    <mergeCell ref="F59:K59"/>
    <mergeCell ref="F60:K60"/>
    <mergeCell ref="F61:K61"/>
    <mergeCell ref="F62:K62"/>
    <mergeCell ref="F71:K71"/>
    <mergeCell ref="A72:K72"/>
    <mergeCell ref="F73:K73"/>
    <mergeCell ref="F74:K74"/>
    <mergeCell ref="F67:K67"/>
    <mergeCell ref="F68:K68"/>
    <mergeCell ref="F69:K69"/>
    <mergeCell ref="F70:K70"/>
    <mergeCell ref="F79:K79"/>
    <mergeCell ref="F80:K80"/>
    <mergeCell ref="F81:K81"/>
    <mergeCell ref="F82:K82"/>
    <mergeCell ref="F75:K75"/>
    <mergeCell ref="F76:K76"/>
    <mergeCell ref="F77:K77"/>
    <mergeCell ref="F78:K78"/>
    <mergeCell ref="A83:B83"/>
    <mergeCell ref="C83:D83"/>
    <mergeCell ref="H83:K83"/>
    <mergeCell ref="A84:B84"/>
    <mergeCell ref="C84:D84"/>
    <mergeCell ref="H84:K84"/>
    <mergeCell ref="A89:K89"/>
    <mergeCell ref="A90:K90"/>
    <mergeCell ref="A91:B91"/>
    <mergeCell ref="D91:K91"/>
    <mergeCell ref="A85:K85"/>
    <mergeCell ref="A86:K86"/>
    <mergeCell ref="A87:K87"/>
    <mergeCell ref="A88:K88"/>
    <mergeCell ref="C97:K97"/>
    <mergeCell ref="C98:K98"/>
    <mergeCell ref="C99:K99"/>
    <mergeCell ref="A92:B92"/>
    <mergeCell ref="C92:D92"/>
    <mergeCell ref="H92:K92"/>
    <mergeCell ref="A93:B93"/>
    <mergeCell ref="C93:D93"/>
    <mergeCell ref="H93:K93"/>
    <mergeCell ref="A100:K100"/>
    <mergeCell ref="F101:K101"/>
    <mergeCell ref="F102:K102"/>
    <mergeCell ref="F103:K103"/>
    <mergeCell ref="A94:B94"/>
    <mergeCell ref="C94:D94"/>
    <mergeCell ref="H94:K94"/>
    <mergeCell ref="A95:B99"/>
    <mergeCell ref="C95:K95"/>
    <mergeCell ref="C96:K96"/>
    <mergeCell ref="A106:B106"/>
    <mergeCell ref="C106:D106"/>
    <mergeCell ref="H106:K106"/>
    <mergeCell ref="A107:K107"/>
    <mergeCell ref="F104:K104"/>
    <mergeCell ref="A105:B105"/>
    <mergeCell ref="C105:D105"/>
    <mergeCell ref="H105:K105"/>
    <mergeCell ref="A108:B112"/>
    <mergeCell ref="C108:K108"/>
    <mergeCell ref="C109:K109"/>
    <mergeCell ref="C110:K110"/>
    <mergeCell ref="C111:K111"/>
    <mergeCell ref="C112:K112"/>
    <mergeCell ref="F117:K117"/>
    <mergeCell ref="F118:K118"/>
    <mergeCell ref="F119:K119"/>
    <mergeCell ref="F120:K120"/>
    <mergeCell ref="A113:K113"/>
    <mergeCell ref="F114:K114"/>
    <mergeCell ref="F115:K115"/>
    <mergeCell ref="F116:K116"/>
    <mergeCell ref="A121:B121"/>
    <mergeCell ref="C121:D121"/>
    <mergeCell ref="H121:K121"/>
    <mergeCell ref="A122:B122"/>
    <mergeCell ref="C122:D122"/>
    <mergeCell ref="H122:K122"/>
    <mergeCell ref="A123:K123"/>
    <mergeCell ref="A124:B128"/>
    <mergeCell ref="C124:K124"/>
    <mergeCell ref="C125:K125"/>
    <mergeCell ref="C126:K126"/>
    <mergeCell ref="C127:K127"/>
    <mergeCell ref="C128:K128"/>
    <mergeCell ref="A133:K133"/>
    <mergeCell ref="C134:K134"/>
    <mergeCell ref="A135:K135"/>
    <mergeCell ref="F136:K136"/>
    <mergeCell ref="A129:K129"/>
    <mergeCell ref="A130:K130"/>
    <mergeCell ref="A131:K131"/>
    <mergeCell ref="A132:K132"/>
    <mergeCell ref="A141:E141"/>
    <mergeCell ref="F141:K141"/>
    <mergeCell ref="A142:K142"/>
    <mergeCell ref="F143:K143"/>
    <mergeCell ref="F137:K137"/>
    <mergeCell ref="F138:K138"/>
    <mergeCell ref="F139:K139"/>
    <mergeCell ref="F140:K140"/>
    <mergeCell ref="A148:E148"/>
    <mergeCell ref="F148:K148"/>
    <mergeCell ref="A149:K149"/>
    <mergeCell ref="F150:K150"/>
    <mergeCell ref="F144:K144"/>
    <mergeCell ref="F145:K145"/>
    <mergeCell ref="F146:K146"/>
    <mergeCell ref="F147:K147"/>
    <mergeCell ref="A155:E155"/>
    <mergeCell ref="F155:K155"/>
    <mergeCell ref="A156:K156"/>
    <mergeCell ref="A157:K157"/>
    <mergeCell ref="F151:K151"/>
    <mergeCell ref="F152:K152"/>
    <mergeCell ref="F153:K153"/>
    <mergeCell ref="F154:K154"/>
    <mergeCell ref="F162:K162"/>
    <mergeCell ref="F163:K163"/>
    <mergeCell ref="F164:K164"/>
    <mergeCell ref="F165:K165"/>
    <mergeCell ref="A158:K158"/>
    <mergeCell ref="F159:K159"/>
    <mergeCell ref="F160:K160"/>
    <mergeCell ref="F161:K161"/>
    <mergeCell ref="F170:K170"/>
    <mergeCell ref="F171:K171"/>
    <mergeCell ref="F172:K172"/>
    <mergeCell ref="F173:K173"/>
    <mergeCell ref="F166:K166"/>
    <mergeCell ref="F167:K167"/>
    <mergeCell ref="F168:K168"/>
    <mergeCell ref="F169:K169"/>
    <mergeCell ref="F178:K178"/>
    <mergeCell ref="F179:K179"/>
    <mergeCell ref="F180:K180"/>
    <mergeCell ref="F181:K181"/>
    <mergeCell ref="F174:K174"/>
    <mergeCell ref="F175:K175"/>
    <mergeCell ref="F176:K176"/>
    <mergeCell ref="F177:K177"/>
    <mergeCell ref="F186:K186"/>
    <mergeCell ref="F187:K187"/>
    <mergeCell ref="F188:K188"/>
    <mergeCell ref="F189:K189"/>
    <mergeCell ref="F182:K182"/>
    <mergeCell ref="F183:K183"/>
    <mergeCell ref="F184:K184"/>
    <mergeCell ref="F185:K185"/>
    <mergeCell ref="F194:K194"/>
    <mergeCell ref="F195:K195"/>
    <mergeCell ref="F196:K196"/>
    <mergeCell ref="F197:K197"/>
    <mergeCell ref="F190:K190"/>
    <mergeCell ref="F191:K191"/>
    <mergeCell ref="F192:K192"/>
    <mergeCell ref="F193:K193"/>
    <mergeCell ref="F202:K202"/>
    <mergeCell ref="F203:K203"/>
    <mergeCell ref="F204:K204"/>
    <mergeCell ref="F205:K205"/>
    <mergeCell ref="F198:K198"/>
    <mergeCell ref="F199:K199"/>
    <mergeCell ref="F200:K200"/>
    <mergeCell ref="F201:K201"/>
    <mergeCell ref="F210:K210"/>
    <mergeCell ref="F211:K211"/>
    <mergeCell ref="F212:K212"/>
    <mergeCell ref="F213:K213"/>
    <mergeCell ref="F206:K206"/>
    <mergeCell ref="F207:K207"/>
    <mergeCell ref="F208:K208"/>
    <mergeCell ref="F209:K209"/>
    <mergeCell ref="F222:K222"/>
    <mergeCell ref="F218:K218"/>
    <mergeCell ref="F219:K219"/>
    <mergeCell ref="F220:K220"/>
    <mergeCell ref="F221:K221"/>
    <mergeCell ref="F214:K214"/>
    <mergeCell ref="F215:K215"/>
    <mergeCell ref="F216:K216"/>
    <mergeCell ref="F217:K217"/>
  </mergeCells>
  <conditionalFormatting sqref="C95:K95 C108:K108 C124:K124">
    <cfRule type="cellIs" priority="1" dxfId="1" operator="equal" stopIfTrue="1">
      <formula>"A tensão longitudinal não passou"</formula>
    </cfRule>
  </conditionalFormatting>
  <conditionalFormatting sqref="C96:K96 C109:K109 C125:K125">
    <cfRule type="cellIs" priority="2" dxfId="1" operator="equal" stopIfTrue="1">
      <formula>"A tensão radial não passou"</formula>
    </cfRule>
  </conditionalFormatting>
  <conditionalFormatting sqref="C97:K97 C110:K110 C126:K126">
    <cfRule type="cellIs" priority="3" dxfId="1" operator="equal" stopIfTrue="1">
      <formula>"A tensão tangencial não passou"</formula>
    </cfRule>
  </conditionalFormatting>
  <conditionalFormatting sqref="C98:K98">
    <cfRule type="cellIs" priority="4" dxfId="1" operator="equal" stopIfTrue="1">
      <formula>"Não passou: ((SHO+SRO)/2) é maior do que Sfp"</formula>
    </cfRule>
  </conditionalFormatting>
  <conditionalFormatting sqref="C99:K99">
    <cfRule type="cellIs" priority="5" dxfId="1" operator="equal" stopIfTrue="1">
      <formula>"Não passou: ((SHO+STO)/2) é mairo do que Sfp"</formula>
    </cfRule>
  </conditionalFormatting>
  <conditionalFormatting sqref="C111:K111">
    <cfRule type="cellIs" priority="6" dxfId="1" operator="equal" stopIfTrue="1">
      <formula>"Não passou: ((SHA+SRA)/2) é maior do que Sff"</formula>
    </cfRule>
  </conditionalFormatting>
  <conditionalFormatting sqref="C112:K112">
    <cfRule type="cellIs" priority="7" dxfId="1" operator="equal" stopIfTrue="1">
      <formula>"Não passou: ((SHA+STA)/2) é maior do que Sff"</formula>
    </cfRule>
  </conditionalFormatting>
  <conditionalFormatting sqref="C127:K127">
    <cfRule type="cellIs" priority="8" dxfId="1" operator="equal" stopIfTrue="1">
      <formula>"Não passou: ((SHI+SRI)/2) é maior do que Sff"</formula>
    </cfRule>
  </conditionalFormatting>
  <conditionalFormatting sqref="C128:K128">
    <cfRule type="cellIs" priority="9" dxfId="1" operator="equal" stopIfTrue="1">
      <formula>"Não passou: ((SHI+STI)/2) é maior do que Sff"</formula>
    </cfRule>
  </conditionalFormatting>
  <conditionalFormatting sqref="F141:K141 F148:K148 F155:K155">
    <cfRule type="cellIs" priority="10" dxfId="1" operator="equal" stopIfTrue="1">
      <formula>"Reanalisar, os flanges não tem rigidez suficiente"</formula>
    </cfRule>
  </conditionalFormatting>
  <conditionalFormatting sqref="C42:K42">
    <cfRule type="cellIs" priority="11" dxfId="0" operator="equal" stopIfTrue="1">
      <formula>"A área resistente dos parafusos está OK!"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2"/>
  <sheetViews>
    <sheetView zoomScalePageLayoutView="0" workbookViewId="0" topLeftCell="A1">
      <selection activeCell="F8" sqref="F8:K8"/>
    </sheetView>
  </sheetViews>
  <sheetFormatPr defaultColWidth="9.140625" defaultRowHeight="12.75"/>
  <cols>
    <col min="1" max="1" width="9.140625" style="34" customWidth="1"/>
    <col min="2" max="2" width="12.28125" style="34" customWidth="1"/>
    <col min="3" max="3" width="9.140625" style="34" customWidth="1"/>
    <col min="4" max="4" width="12.00390625" style="34" customWidth="1"/>
    <col min="5" max="10" width="9.140625" style="34" customWidth="1"/>
    <col min="11" max="11" width="13.57421875" style="34" customWidth="1"/>
    <col min="12" max="16384" width="9.140625" style="34" customWidth="1"/>
  </cols>
  <sheetData>
    <row r="1" spans="1:11" ht="14.25">
      <c r="A1" s="106" t="s">
        <v>34</v>
      </c>
      <c r="B1" s="107"/>
      <c r="C1" s="107"/>
      <c r="D1" s="107"/>
      <c r="E1" s="107"/>
      <c r="F1" s="107"/>
      <c r="G1" s="107"/>
      <c r="H1" s="107"/>
      <c r="I1" s="108"/>
      <c r="J1" s="109" t="s">
        <v>35</v>
      </c>
      <c r="K1" s="110"/>
    </row>
    <row r="2" spans="1:11" ht="12.75">
      <c r="A2" s="111" t="s">
        <v>36</v>
      </c>
      <c r="B2" s="112"/>
      <c r="C2" s="112"/>
      <c r="D2" s="112"/>
      <c r="E2" s="112"/>
      <c r="F2" s="112"/>
      <c r="G2" s="112"/>
      <c r="H2" s="112"/>
      <c r="I2" s="113"/>
      <c r="J2" s="114" t="s">
        <v>37</v>
      </c>
      <c r="K2" s="115"/>
    </row>
    <row r="3" spans="1:11" ht="12.7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8">
      <c r="A4" s="119" t="s">
        <v>38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2.75">
      <c r="A5" s="120" t="s">
        <v>39</v>
      </c>
      <c r="B5" s="121"/>
      <c r="C5" s="121"/>
      <c r="D5" s="121"/>
      <c r="E5" s="122"/>
      <c r="F5" s="123" t="s">
        <v>387</v>
      </c>
      <c r="G5" s="124"/>
      <c r="H5" s="124"/>
      <c r="I5" s="124"/>
      <c r="J5" s="124"/>
      <c r="K5" s="125"/>
    </row>
    <row r="6" spans="1:11" ht="12.75">
      <c r="A6" s="120" t="s">
        <v>40</v>
      </c>
      <c r="B6" s="121"/>
      <c r="C6" s="121"/>
      <c r="D6" s="121"/>
      <c r="E6" s="122"/>
      <c r="F6" s="126" t="s">
        <v>388</v>
      </c>
      <c r="G6" s="127"/>
      <c r="H6" s="127"/>
      <c r="I6" s="127"/>
      <c r="J6" s="127"/>
      <c r="K6" s="128"/>
    </row>
    <row r="7" spans="1:11" ht="12.75">
      <c r="A7" s="120" t="s">
        <v>41</v>
      </c>
      <c r="B7" s="121"/>
      <c r="C7" s="121"/>
      <c r="D7" s="121"/>
      <c r="E7" s="122"/>
      <c r="F7" s="126" t="s">
        <v>389</v>
      </c>
      <c r="G7" s="127"/>
      <c r="H7" s="127"/>
      <c r="I7" s="127"/>
      <c r="J7" s="127"/>
      <c r="K7" s="128"/>
    </row>
    <row r="8" spans="1:11" ht="12.75">
      <c r="A8" s="120" t="s">
        <v>42</v>
      </c>
      <c r="B8" s="121"/>
      <c r="C8" s="121"/>
      <c r="D8" s="121"/>
      <c r="E8" s="122"/>
      <c r="F8" s="129" t="s">
        <v>378</v>
      </c>
      <c r="G8" s="130"/>
      <c r="H8" s="130"/>
      <c r="I8" s="130"/>
      <c r="J8" s="130"/>
      <c r="K8" s="131"/>
    </row>
    <row r="9" spans="1:11" ht="12.75">
      <c r="A9" s="132" t="s">
        <v>43</v>
      </c>
      <c r="B9" s="133"/>
      <c r="C9" s="133"/>
      <c r="D9" s="133"/>
      <c r="E9" s="133"/>
      <c r="F9" s="133"/>
      <c r="G9" s="133"/>
      <c r="H9" s="133"/>
      <c r="I9" s="133"/>
      <c r="J9" s="133"/>
      <c r="K9" s="134"/>
    </row>
    <row r="10" spans="1:11" ht="12.75">
      <c r="A10" s="9"/>
      <c r="B10" s="135" t="s">
        <v>44</v>
      </c>
      <c r="C10" s="136"/>
      <c r="D10" s="135" t="s">
        <v>45</v>
      </c>
      <c r="E10" s="136"/>
      <c r="F10" s="137"/>
      <c r="G10" s="133"/>
      <c r="H10" s="133"/>
      <c r="I10" s="133"/>
      <c r="J10" s="133"/>
      <c r="K10" s="138"/>
    </row>
    <row r="11" spans="1:11" ht="12.75">
      <c r="A11" s="1" t="s">
        <v>46</v>
      </c>
      <c r="B11" s="25">
        <f>2007.5/25.4</f>
        <v>79.03543307086615</v>
      </c>
      <c r="C11" s="2" t="s">
        <v>47</v>
      </c>
      <c r="D11" s="3">
        <f>B11*25.4</f>
        <v>2007.5</v>
      </c>
      <c r="E11" s="7" t="s">
        <v>2</v>
      </c>
      <c r="F11" s="139" t="s">
        <v>48</v>
      </c>
      <c r="G11" s="140"/>
      <c r="H11" s="140"/>
      <c r="I11" s="140"/>
      <c r="J11" s="140"/>
      <c r="K11" s="141"/>
    </row>
    <row r="12" spans="1:11" ht="12.75">
      <c r="A12" s="1" t="s">
        <v>49</v>
      </c>
      <c r="B12" s="25">
        <f>1920/25.4</f>
        <v>75.59055118110237</v>
      </c>
      <c r="C12" s="2" t="s">
        <v>47</v>
      </c>
      <c r="D12" s="3">
        <f>B12*25.4</f>
        <v>1920</v>
      </c>
      <c r="E12" s="7" t="s">
        <v>2</v>
      </c>
      <c r="F12" s="139" t="s">
        <v>50</v>
      </c>
      <c r="G12" s="140"/>
      <c r="H12" s="140"/>
      <c r="I12" s="140"/>
      <c r="J12" s="140"/>
      <c r="K12" s="141"/>
    </row>
    <row r="13" spans="1:11" ht="12.75">
      <c r="A13" s="1" t="s">
        <v>51</v>
      </c>
      <c r="B13" s="26">
        <v>4</v>
      </c>
      <c r="C13" s="2" t="s">
        <v>14</v>
      </c>
      <c r="D13" s="3">
        <f>B13</f>
        <v>4</v>
      </c>
      <c r="E13" s="2" t="s">
        <v>14</v>
      </c>
      <c r="F13" s="139" t="s">
        <v>52</v>
      </c>
      <c r="G13" s="140"/>
      <c r="H13" s="140"/>
      <c r="I13" s="140"/>
      <c r="J13" s="140"/>
      <c r="K13" s="141"/>
    </row>
    <row r="14" spans="1:11" ht="12.75">
      <c r="A14" s="1" t="s">
        <v>53</v>
      </c>
      <c r="B14" s="27">
        <f>3*14.22</f>
        <v>42.660000000000004</v>
      </c>
      <c r="C14" s="2" t="s">
        <v>0</v>
      </c>
      <c r="D14" s="3">
        <f>B14*6.894757</f>
        <v>294.13033362000004</v>
      </c>
      <c r="E14" s="7" t="s">
        <v>9</v>
      </c>
      <c r="F14" s="142" t="s">
        <v>54</v>
      </c>
      <c r="G14" s="143"/>
      <c r="H14" s="143"/>
      <c r="I14" s="143"/>
      <c r="J14" s="143"/>
      <c r="K14" s="144"/>
    </row>
    <row r="15" spans="1:11" ht="12.75">
      <c r="A15" s="1" t="s">
        <v>55</v>
      </c>
      <c r="B15" s="27">
        <v>1858116.72</v>
      </c>
      <c r="C15" s="2" t="s">
        <v>56</v>
      </c>
      <c r="D15" s="3">
        <f>B15*0.01152124</f>
        <v>21407.8086791328</v>
      </c>
      <c r="E15" s="7" t="s">
        <v>57</v>
      </c>
      <c r="F15" s="142" t="s">
        <v>58</v>
      </c>
      <c r="G15" s="143"/>
      <c r="H15" s="143"/>
      <c r="I15" s="143"/>
      <c r="J15" s="143"/>
      <c r="K15" s="144"/>
    </row>
    <row r="16" spans="1:11" ht="17.25" customHeight="1">
      <c r="A16" s="10" t="s">
        <v>59</v>
      </c>
      <c r="B16" s="27">
        <v>11341</v>
      </c>
      <c r="C16" s="2" t="s">
        <v>29</v>
      </c>
      <c r="D16" s="3">
        <f>B16*0.4535924</f>
        <v>5144.1914084</v>
      </c>
      <c r="E16" s="7" t="s">
        <v>1</v>
      </c>
      <c r="F16" s="145" t="s">
        <v>60</v>
      </c>
      <c r="G16" s="146"/>
      <c r="H16" s="146"/>
      <c r="I16" s="146"/>
      <c r="J16" s="146"/>
      <c r="K16" s="147"/>
    </row>
    <row r="17" spans="1:11" ht="12.75">
      <c r="A17" s="1" t="s">
        <v>61</v>
      </c>
      <c r="B17" s="8">
        <f>(16*B15)/(3.14*(B24^3))</f>
        <v>19.86948257009571</v>
      </c>
      <c r="C17" s="2" t="s">
        <v>0</v>
      </c>
      <c r="D17" s="3">
        <f>B17*6.894757</f>
        <v>136.9952540365454</v>
      </c>
      <c r="E17" s="7" t="s">
        <v>9</v>
      </c>
      <c r="F17" s="145" t="s">
        <v>62</v>
      </c>
      <c r="G17" s="146"/>
      <c r="H17" s="146"/>
      <c r="I17" s="146"/>
      <c r="J17" s="146"/>
      <c r="K17" s="147"/>
    </row>
    <row r="18" spans="1:11" ht="12.75">
      <c r="A18" s="1" t="s">
        <v>63</v>
      </c>
      <c r="B18" s="8">
        <f>(4*B16)/(3.1416*(B24^2))</f>
        <v>2.366878372790934</v>
      </c>
      <c r="C18" s="2" t="s">
        <v>0</v>
      </c>
      <c r="D18" s="3">
        <f>B18*6.894757</f>
        <v>16.3190512289489</v>
      </c>
      <c r="E18" s="7" t="s">
        <v>9</v>
      </c>
      <c r="F18" s="145" t="s">
        <v>64</v>
      </c>
      <c r="G18" s="146"/>
      <c r="H18" s="146"/>
      <c r="I18" s="146"/>
      <c r="J18" s="146"/>
      <c r="K18" s="147"/>
    </row>
    <row r="19" spans="1:11" ht="12.75">
      <c r="A19" s="1" t="s">
        <v>65</v>
      </c>
      <c r="B19" s="8">
        <f>((16*B15)/(3.14*(B24^3)))+((4*B16)/(3.14*(B24^2)))</f>
        <v>22.237566995560677</v>
      </c>
      <c r="C19" s="2" t="s">
        <v>0</v>
      </c>
      <c r="D19" s="3">
        <f>B19*6.894757</f>
        <v>153.32262070561094</v>
      </c>
      <c r="E19" s="7" t="s">
        <v>9</v>
      </c>
      <c r="F19" s="145" t="s">
        <v>66</v>
      </c>
      <c r="G19" s="146"/>
      <c r="H19" s="146"/>
      <c r="I19" s="146"/>
      <c r="J19" s="146"/>
      <c r="K19" s="147"/>
    </row>
    <row r="20" spans="1:11" ht="12.75">
      <c r="A20" s="1" t="s">
        <v>67</v>
      </c>
      <c r="B20" s="8">
        <f>B19+B14</f>
        <v>64.89756699556068</v>
      </c>
      <c r="C20" s="2" t="s">
        <v>0</v>
      </c>
      <c r="D20" s="3">
        <f>B20*6.894757</f>
        <v>447.45295432561096</v>
      </c>
      <c r="E20" s="7" t="s">
        <v>9</v>
      </c>
      <c r="F20" s="145" t="s">
        <v>68</v>
      </c>
      <c r="G20" s="146"/>
      <c r="H20" s="146"/>
      <c r="I20" s="146"/>
      <c r="J20" s="146"/>
      <c r="K20" s="147"/>
    </row>
    <row r="21" spans="1:11" ht="12.75">
      <c r="A21" s="1" t="s">
        <v>69</v>
      </c>
      <c r="B21" s="8">
        <f>((B11-B12)/2)</f>
        <v>1.722440944881889</v>
      </c>
      <c r="C21" s="2" t="s">
        <v>47</v>
      </c>
      <c r="D21" s="3">
        <f>B21*25.4</f>
        <v>43.74999999999998</v>
      </c>
      <c r="E21" s="7" t="s">
        <v>2</v>
      </c>
      <c r="F21" s="142" t="s">
        <v>70</v>
      </c>
      <c r="G21" s="143"/>
      <c r="H21" s="143"/>
      <c r="I21" s="143"/>
      <c r="J21" s="143"/>
      <c r="K21" s="144"/>
    </row>
    <row r="22" spans="1:11" ht="12.75">
      <c r="A22" s="1" t="s">
        <v>71</v>
      </c>
      <c r="B22" s="8">
        <f>+B21/2</f>
        <v>0.8612204724409445</v>
      </c>
      <c r="C22" s="2" t="s">
        <v>47</v>
      </c>
      <c r="D22" s="3">
        <f>B22*25.4</f>
        <v>21.87499999999999</v>
      </c>
      <c r="E22" s="7" t="s">
        <v>2</v>
      </c>
      <c r="F22" s="148" t="s">
        <v>72</v>
      </c>
      <c r="G22" s="149"/>
      <c r="H22" s="149"/>
      <c r="I22" s="149"/>
      <c r="J22" s="149"/>
      <c r="K22" s="150"/>
    </row>
    <row r="23" spans="1:11" ht="21" customHeight="1">
      <c r="A23" s="10" t="s">
        <v>73</v>
      </c>
      <c r="B23" s="8">
        <f>IF(B22&lt;=0.25,B22,0.5*SQRT(B22))</f>
        <v>0.4640098254457939</v>
      </c>
      <c r="C23" s="2" t="s">
        <v>47</v>
      </c>
      <c r="D23" s="3">
        <f>B23*25.4</f>
        <v>11.785849566323163</v>
      </c>
      <c r="E23" s="7" t="s">
        <v>2</v>
      </c>
      <c r="F23" s="151" t="s">
        <v>360</v>
      </c>
      <c r="G23" s="152"/>
      <c r="H23" s="152"/>
      <c r="I23" s="152"/>
      <c r="J23" s="152"/>
      <c r="K23" s="153"/>
    </row>
    <row r="24" spans="1:11" ht="17.25" customHeight="1">
      <c r="A24" s="1" t="s">
        <v>74</v>
      </c>
      <c r="B24" s="8">
        <f>IF(B22&lt;=0.25,((B11+B12)/2),(B11-(2*B23)))</f>
        <v>78.10741341997456</v>
      </c>
      <c r="C24" s="2" t="s">
        <v>47</v>
      </c>
      <c r="D24" s="3">
        <f>B24*25.4</f>
        <v>1983.9283008673538</v>
      </c>
      <c r="E24" s="7" t="s">
        <v>2</v>
      </c>
      <c r="F24" s="145" t="s">
        <v>75</v>
      </c>
      <c r="G24" s="146"/>
      <c r="H24" s="146"/>
      <c r="I24" s="146"/>
      <c r="J24" s="146"/>
      <c r="K24" s="147"/>
    </row>
    <row r="25" spans="1:11" ht="12.75">
      <c r="A25" s="1" t="s">
        <v>76</v>
      </c>
      <c r="B25" s="3">
        <f>B20*0.785*B24*B24</f>
        <v>310801.12659080606</v>
      </c>
      <c r="C25" s="2" t="s">
        <v>29</v>
      </c>
      <c r="D25" s="3">
        <f>B25*0.4535924</f>
        <v>140977.02893302753</v>
      </c>
      <c r="E25" s="7" t="s">
        <v>1</v>
      </c>
      <c r="F25" s="145" t="s">
        <v>77</v>
      </c>
      <c r="G25" s="146"/>
      <c r="H25" s="146"/>
      <c r="I25" s="146"/>
      <c r="J25" s="146"/>
      <c r="K25" s="147"/>
    </row>
    <row r="26" spans="1:11" ht="12.75">
      <c r="A26" s="1" t="s">
        <v>78</v>
      </c>
      <c r="B26" s="3">
        <f>B13*B14*2*B23*B24*3.14</f>
        <v>38838.27380540336</v>
      </c>
      <c r="C26" s="2" t="s">
        <v>29</v>
      </c>
      <c r="D26" s="3">
        <f>B26*0.4535924</f>
        <v>17616.745827250044</v>
      </c>
      <c r="E26" s="7" t="s">
        <v>1</v>
      </c>
      <c r="F26" s="145" t="s">
        <v>79</v>
      </c>
      <c r="G26" s="146"/>
      <c r="H26" s="146"/>
      <c r="I26" s="146"/>
      <c r="J26" s="146"/>
      <c r="K26" s="147"/>
    </row>
    <row r="27" spans="1:11" ht="12.75">
      <c r="A27" s="11" t="s">
        <v>80</v>
      </c>
      <c r="B27" s="3">
        <f>B25+B26</f>
        <v>349639.40039620944</v>
      </c>
      <c r="C27" s="2" t="s">
        <v>29</v>
      </c>
      <c r="D27" s="3">
        <f>B27*0.4535924</f>
        <v>158593.7747602776</v>
      </c>
      <c r="E27" s="7" t="s">
        <v>1</v>
      </c>
      <c r="F27" s="145" t="s">
        <v>81</v>
      </c>
      <c r="G27" s="146"/>
      <c r="H27" s="146"/>
      <c r="I27" s="146"/>
      <c r="J27" s="146"/>
      <c r="K27" s="147"/>
    </row>
    <row r="28" spans="1:11" ht="12.75">
      <c r="A28" s="154" t="s">
        <v>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6"/>
    </row>
    <row r="29" spans="1:11" ht="22.5" customHeight="1">
      <c r="A29" s="1" t="s">
        <v>82</v>
      </c>
      <c r="B29" s="28">
        <v>4500</v>
      </c>
      <c r="C29" s="2" t="s">
        <v>0</v>
      </c>
      <c r="D29" s="3">
        <f>B29*6.894757</f>
        <v>31026.4065</v>
      </c>
      <c r="E29" s="7" t="s">
        <v>9</v>
      </c>
      <c r="F29" s="145" t="s">
        <v>83</v>
      </c>
      <c r="G29" s="146"/>
      <c r="H29" s="146"/>
      <c r="I29" s="146"/>
      <c r="J29" s="146"/>
      <c r="K29" s="147"/>
    </row>
    <row r="30" spans="1:11" ht="12.75">
      <c r="A30" s="1" t="s">
        <v>84</v>
      </c>
      <c r="B30" s="3">
        <f>B23*B24*B29*3.1416</f>
        <v>512368.98745538376</v>
      </c>
      <c r="C30" s="2" t="s">
        <v>29</v>
      </c>
      <c r="D30" s="3">
        <f>B30*0.4535924</f>
        <v>232406.67870545742</v>
      </c>
      <c r="E30" s="7" t="s">
        <v>1</v>
      </c>
      <c r="F30" s="145" t="s">
        <v>85</v>
      </c>
      <c r="G30" s="146"/>
      <c r="H30" s="146"/>
      <c r="I30" s="146"/>
      <c r="J30" s="146"/>
      <c r="K30" s="147"/>
    </row>
    <row r="31" spans="1:11" ht="23.25" customHeight="1">
      <c r="A31" s="154" t="s">
        <v>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6"/>
    </row>
    <row r="32" spans="1:11" ht="12.75">
      <c r="A32" s="1" t="s">
        <v>5</v>
      </c>
      <c r="B32" s="28">
        <v>380</v>
      </c>
      <c r="C32" s="2" t="s">
        <v>6</v>
      </c>
      <c r="D32" s="41">
        <f>B32*1.8+32</f>
        <v>716</v>
      </c>
      <c r="E32" s="2" t="s">
        <v>6</v>
      </c>
      <c r="F32" s="148" t="s">
        <v>7</v>
      </c>
      <c r="G32" s="149"/>
      <c r="H32" s="149"/>
      <c r="I32" s="149"/>
      <c r="J32" s="149"/>
      <c r="K32" s="150"/>
    </row>
    <row r="33" spans="1:11" ht="12.75">
      <c r="A33" s="1" t="s">
        <v>8</v>
      </c>
      <c r="B33" s="28">
        <v>11700</v>
      </c>
      <c r="C33" s="2" t="s">
        <v>0</v>
      </c>
      <c r="D33" s="3">
        <f>B33*6.894757</f>
        <v>80668.6569</v>
      </c>
      <c r="E33" s="7" t="s">
        <v>9</v>
      </c>
      <c r="F33" s="148" t="s">
        <v>10</v>
      </c>
      <c r="G33" s="149"/>
      <c r="H33" s="149"/>
      <c r="I33" s="149"/>
      <c r="J33" s="149"/>
      <c r="K33" s="150"/>
    </row>
    <row r="34" spans="1:11" ht="12.75">
      <c r="A34" s="1" t="s">
        <v>11</v>
      </c>
      <c r="B34" s="28">
        <v>18800</v>
      </c>
      <c r="C34" s="2" t="s">
        <v>0</v>
      </c>
      <c r="D34" s="3">
        <f>B34*6.894757</f>
        <v>129621.43160000001</v>
      </c>
      <c r="E34" s="7" t="s">
        <v>9</v>
      </c>
      <c r="F34" s="148" t="s">
        <v>12</v>
      </c>
      <c r="G34" s="149"/>
      <c r="H34" s="149"/>
      <c r="I34" s="149"/>
      <c r="J34" s="149"/>
      <c r="K34" s="150"/>
    </row>
    <row r="35" spans="1:11" ht="12.75">
      <c r="A35" s="1" t="s">
        <v>363</v>
      </c>
      <c r="B35" s="28">
        <v>2</v>
      </c>
      <c r="C35" s="2" t="s">
        <v>47</v>
      </c>
      <c r="D35" s="3">
        <f>B35*25.4</f>
        <v>50.8</v>
      </c>
      <c r="E35" s="7" t="s">
        <v>2</v>
      </c>
      <c r="F35" s="4" t="s">
        <v>364</v>
      </c>
      <c r="G35" s="5"/>
      <c r="H35" s="5"/>
      <c r="I35" s="5"/>
      <c r="J35" s="5"/>
      <c r="K35" s="6"/>
    </row>
    <row r="36" spans="1:11" ht="12.75">
      <c r="A36" s="1" t="s">
        <v>13</v>
      </c>
      <c r="B36" s="28">
        <v>48</v>
      </c>
      <c r="C36" s="2" t="s">
        <v>14</v>
      </c>
      <c r="D36" s="3">
        <f>B36</f>
        <v>48</v>
      </c>
      <c r="E36" s="7" t="s">
        <v>14</v>
      </c>
      <c r="F36" s="139" t="s">
        <v>15</v>
      </c>
      <c r="G36" s="140"/>
      <c r="H36" s="140"/>
      <c r="I36" s="140"/>
      <c r="J36" s="140"/>
      <c r="K36" s="141"/>
    </row>
    <row r="37" spans="1:11" ht="12.75">
      <c r="A37" s="1" t="s">
        <v>16</v>
      </c>
      <c r="B37" s="28">
        <v>2.652</v>
      </c>
      <c r="C37" s="2" t="s">
        <v>17</v>
      </c>
      <c r="D37" s="3">
        <f>B37*25.4*25.4</f>
        <v>1710.9643199999998</v>
      </c>
      <c r="E37" s="7" t="s">
        <v>18</v>
      </c>
      <c r="F37" s="148" t="s">
        <v>19</v>
      </c>
      <c r="G37" s="149"/>
      <c r="H37" s="149"/>
      <c r="I37" s="149"/>
      <c r="J37" s="149"/>
      <c r="K37" s="150"/>
    </row>
    <row r="38" spans="1:11" ht="12.75">
      <c r="A38" s="1" t="s">
        <v>20</v>
      </c>
      <c r="B38" s="38">
        <f>+B37*B36</f>
        <v>127.296</v>
      </c>
      <c r="C38" s="2" t="s">
        <v>17</v>
      </c>
      <c r="D38" s="3">
        <f>B38*25.4*25.4</f>
        <v>82126.28736</v>
      </c>
      <c r="E38" s="7" t="s">
        <v>18</v>
      </c>
      <c r="F38" s="148" t="s">
        <v>21</v>
      </c>
      <c r="G38" s="149"/>
      <c r="H38" s="149"/>
      <c r="I38" s="149"/>
      <c r="J38" s="149"/>
      <c r="K38" s="150"/>
    </row>
    <row r="39" spans="1:11" ht="12.75">
      <c r="A39" s="1" t="s">
        <v>22</v>
      </c>
      <c r="B39" s="8">
        <f>B27/B33</f>
        <v>29.883709435573458</v>
      </c>
      <c r="C39" s="2" t="s">
        <v>17</v>
      </c>
      <c r="D39" s="3">
        <f>B39*25.4*25.4</f>
        <v>19279.77397945457</v>
      </c>
      <c r="E39" s="7" t="s">
        <v>18</v>
      </c>
      <c r="F39" s="148" t="s">
        <v>23</v>
      </c>
      <c r="G39" s="149"/>
      <c r="H39" s="149"/>
      <c r="I39" s="149"/>
      <c r="J39" s="149"/>
      <c r="K39" s="150"/>
    </row>
    <row r="40" spans="1:11" ht="12.75">
      <c r="A40" s="1" t="s">
        <v>24</v>
      </c>
      <c r="B40" s="8">
        <f>B30/B34</f>
        <v>27.253669545499136</v>
      </c>
      <c r="C40" s="2" t="s">
        <v>17</v>
      </c>
      <c r="D40" s="3">
        <f>B40*25.4*25.4</f>
        <v>17582.97744397422</v>
      </c>
      <c r="E40" s="7" t="s">
        <v>18</v>
      </c>
      <c r="F40" s="148" t="s">
        <v>25</v>
      </c>
      <c r="G40" s="149"/>
      <c r="H40" s="149"/>
      <c r="I40" s="149"/>
      <c r="J40" s="149"/>
      <c r="K40" s="150"/>
    </row>
    <row r="41" spans="1:11" ht="12.75">
      <c r="A41" s="1" t="s">
        <v>26</v>
      </c>
      <c r="B41" s="39">
        <f>IF(B39&gt;B40,B39,B40)</f>
        <v>29.883709435573458</v>
      </c>
      <c r="C41" s="2" t="s">
        <v>17</v>
      </c>
      <c r="D41" s="37">
        <f>B41*25.4*25.4</f>
        <v>19279.77397945457</v>
      </c>
      <c r="E41" s="7" t="s">
        <v>18</v>
      </c>
      <c r="F41" s="148" t="s">
        <v>27</v>
      </c>
      <c r="G41" s="149"/>
      <c r="H41" s="149"/>
      <c r="I41" s="149"/>
      <c r="J41" s="149"/>
      <c r="K41" s="150"/>
    </row>
    <row r="42" spans="1:11" ht="12.75">
      <c r="A42" s="157" t="s">
        <v>362</v>
      </c>
      <c r="B42" s="158"/>
      <c r="C42" s="159" t="str">
        <f>IF(B41&lt;=B38,"A área resistente dos parafusos está OK!","Não passou!  A área resistente de parafusos é insuficiente.")</f>
        <v>A área resistente dos parafusos está OK!</v>
      </c>
      <c r="D42" s="160"/>
      <c r="E42" s="160"/>
      <c r="F42" s="160"/>
      <c r="G42" s="160"/>
      <c r="H42" s="160"/>
      <c r="I42" s="160"/>
      <c r="J42" s="160"/>
      <c r="K42" s="161"/>
    </row>
    <row r="43" spans="1:11" ht="12.75">
      <c r="A43" s="1" t="s">
        <v>28</v>
      </c>
      <c r="B43" s="3">
        <f>0.5*(B41+B38)*B34</f>
        <v>1477489.2686943905</v>
      </c>
      <c r="C43" s="2" t="s">
        <v>29</v>
      </c>
      <c r="D43" s="3">
        <f>B43*0.4535924</f>
        <v>670177.9033613335</v>
      </c>
      <c r="E43" s="7" t="s">
        <v>1</v>
      </c>
      <c r="F43" s="148" t="s">
        <v>30</v>
      </c>
      <c r="G43" s="149"/>
      <c r="H43" s="149"/>
      <c r="I43" s="149"/>
      <c r="J43" s="149"/>
      <c r="K43" s="150"/>
    </row>
    <row r="44" spans="1:11" ht="12.75">
      <c r="A44" s="1" t="s">
        <v>31</v>
      </c>
      <c r="B44" s="3">
        <f>B27</f>
        <v>349639.40039620944</v>
      </c>
      <c r="C44" s="2" t="s">
        <v>29</v>
      </c>
      <c r="D44" s="3">
        <f>B44*0.4535924</f>
        <v>158593.7747602776</v>
      </c>
      <c r="E44" s="7" t="s">
        <v>1</v>
      </c>
      <c r="F44" s="148" t="s">
        <v>361</v>
      </c>
      <c r="G44" s="149"/>
      <c r="H44" s="149"/>
      <c r="I44" s="149"/>
      <c r="J44" s="149"/>
      <c r="K44" s="150"/>
    </row>
    <row r="45" spans="1:11" ht="12.75">
      <c r="A45" s="1" t="s">
        <v>32</v>
      </c>
      <c r="B45" s="3">
        <f>IF(B43&gt;B44,B43,B44)</f>
        <v>1477489.2686943905</v>
      </c>
      <c r="C45" s="2" t="s">
        <v>29</v>
      </c>
      <c r="D45" s="3">
        <f>B45*0.4535924</f>
        <v>670177.9033613335</v>
      </c>
      <c r="E45" s="7" t="s">
        <v>1</v>
      </c>
      <c r="F45" s="148" t="s">
        <v>33</v>
      </c>
      <c r="G45" s="149"/>
      <c r="H45" s="149"/>
      <c r="I45" s="149"/>
      <c r="J45" s="149"/>
      <c r="K45" s="150"/>
    </row>
    <row r="46" spans="1:11" ht="12.75">
      <c r="A46" s="154" t="s">
        <v>86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6"/>
    </row>
    <row r="47" spans="1:11" ht="12.75">
      <c r="A47" s="162" t="s">
        <v>87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4"/>
    </row>
    <row r="48" spans="1:11" ht="12.75">
      <c r="A48" s="165" t="s">
        <v>88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7"/>
    </row>
    <row r="49" spans="1:11" ht="12.75">
      <c r="A49" s="165" t="s">
        <v>89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7"/>
    </row>
    <row r="50" spans="1:11" ht="12.75">
      <c r="A50" s="168" t="s">
        <v>90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70"/>
    </row>
    <row r="51" spans="1:11" ht="12.75">
      <c r="A51" s="12" t="s">
        <v>91</v>
      </c>
      <c r="B51" s="25" t="s">
        <v>92</v>
      </c>
      <c r="C51" s="171" t="s">
        <v>93</v>
      </c>
      <c r="D51" s="172"/>
      <c r="E51" s="172"/>
      <c r="F51" s="172"/>
      <c r="G51" s="172"/>
      <c r="H51" s="172"/>
      <c r="I51" s="172"/>
      <c r="J51" s="172"/>
      <c r="K51" s="173"/>
    </row>
    <row r="52" spans="1:11" ht="18" customHeight="1">
      <c r="A52" s="10" t="s">
        <v>94</v>
      </c>
      <c r="B52" s="28">
        <f>68.1/25.4</f>
        <v>2.6811023622047245</v>
      </c>
      <c r="C52" s="2" t="s">
        <v>47</v>
      </c>
      <c r="D52" s="3">
        <f aca="true" t="shared" si="0" ref="D52:D59">B52*25.4</f>
        <v>68.1</v>
      </c>
      <c r="E52" s="7" t="s">
        <v>2</v>
      </c>
      <c r="F52" s="174" t="s">
        <v>95</v>
      </c>
      <c r="G52" s="175"/>
      <c r="H52" s="175"/>
      <c r="I52" s="175"/>
      <c r="J52" s="175"/>
      <c r="K52" s="176"/>
    </row>
    <row r="53" spans="1:11" ht="12.75">
      <c r="A53" s="10" t="s">
        <v>96</v>
      </c>
      <c r="B53" s="28">
        <f>59.7/25.4</f>
        <v>2.350393700787402</v>
      </c>
      <c r="C53" s="2" t="s">
        <v>47</v>
      </c>
      <c r="D53" s="3">
        <f t="shared" si="0"/>
        <v>59.7</v>
      </c>
      <c r="E53" s="7" t="s">
        <v>2</v>
      </c>
      <c r="F53" s="174" t="s">
        <v>97</v>
      </c>
      <c r="G53" s="175"/>
      <c r="H53" s="175"/>
      <c r="I53" s="175"/>
      <c r="J53" s="175"/>
      <c r="K53" s="176"/>
    </row>
    <row r="54" spans="1:11" ht="12.75">
      <c r="A54" s="10" t="s">
        <v>98</v>
      </c>
      <c r="B54" s="28">
        <f>25/25.4</f>
        <v>0.984251968503937</v>
      </c>
      <c r="C54" s="13" t="s">
        <v>47</v>
      </c>
      <c r="D54" s="3">
        <f t="shared" si="0"/>
        <v>25</v>
      </c>
      <c r="E54" s="7" t="s">
        <v>2</v>
      </c>
      <c r="F54" s="177" t="s">
        <v>99</v>
      </c>
      <c r="G54" s="178"/>
      <c r="H54" s="178"/>
      <c r="I54" s="178"/>
      <c r="J54" s="178"/>
      <c r="K54" s="179"/>
    </row>
    <row r="55" spans="1:11" ht="12.75">
      <c r="A55" s="10" t="s">
        <v>100</v>
      </c>
      <c r="B55" s="28">
        <f>2155.6/25.4</f>
        <v>84.86614173228347</v>
      </c>
      <c r="C55" s="2" t="s">
        <v>47</v>
      </c>
      <c r="D55" s="3">
        <f t="shared" si="0"/>
        <v>2155.6</v>
      </c>
      <c r="E55" s="7" t="s">
        <v>2</v>
      </c>
      <c r="F55" s="174" t="s">
        <v>101</v>
      </c>
      <c r="G55" s="175"/>
      <c r="H55" s="175"/>
      <c r="I55" s="175"/>
      <c r="J55" s="175"/>
      <c r="K55" s="176"/>
    </row>
    <row r="56" spans="1:11" ht="12.75">
      <c r="A56" s="10" t="s">
        <v>102</v>
      </c>
      <c r="B56" s="28">
        <f>1900/25.4</f>
        <v>74.80314960629921</v>
      </c>
      <c r="C56" s="2" t="s">
        <v>47</v>
      </c>
      <c r="D56" s="3">
        <f t="shared" si="0"/>
        <v>1900</v>
      </c>
      <c r="E56" s="7" t="s">
        <v>2</v>
      </c>
      <c r="F56" s="174" t="s">
        <v>103</v>
      </c>
      <c r="G56" s="175"/>
      <c r="H56" s="175"/>
      <c r="I56" s="175"/>
      <c r="J56" s="175"/>
      <c r="K56" s="176"/>
    </row>
    <row r="57" spans="1:11" ht="12.75">
      <c r="A57" s="10" t="s">
        <v>104</v>
      </c>
      <c r="B57" s="28">
        <f>2293/25.4</f>
        <v>90.27559055118111</v>
      </c>
      <c r="C57" s="2" t="s">
        <v>47</v>
      </c>
      <c r="D57" s="3">
        <f t="shared" si="0"/>
        <v>2293</v>
      </c>
      <c r="E57" s="7" t="s">
        <v>2</v>
      </c>
      <c r="F57" s="174" t="s">
        <v>105</v>
      </c>
      <c r="G57" s="175"/>
      <c r="H57" s="175"/>
      <c r="I57" s="175"/>
      <c r="J57" s="175"/>
      <c r="K57" s="176"/>
    </row>
    <row r="58" spans="1:11" ht="12.75">
      <c r="A58" s="10" t="s">
        <v>106</v>
      </c>
      <c r="B58" s="28">
        <f>166/25.4</f>
        <v>6.535433070866142</v>
      </c>
      <c r="C58" s="2" t="s">
        <v>47</v>
      </c>
      <c r="D58" s="3">
        <f t="shared" si="0"/>
        <v>166</v>
      </c>
      <c r="E58" s="7" t="s">
        <v>2</v>
      </c>
      <c r="F58" s="174" t="s">
        <v>107</v>
      </c>
      <c r="G58" s="175"/>
      <c r="H58" s="175"/>
      <c r="I58" s="175"/>
      <c r="J58" s="175"/>
      <c r="K58" s="176"/>
    </row>
    <row r="59" spans="1:11" ht="12.75">
      <c r="A59" s="10" t="s">
        <v>108</v>
      </c>
      <c r="B59" s="14">
        <f>(B56*B54)^0.5</f>
        <v>8.580509731379278</v>
      </c>
      <c r="C59" s="2" t="s">
        <v>47</v>
      </c>
      <c r="D59" s="3">
        <f t="shared" si="0"/>
        <v>217.94494717703364</v>
      </c>
      <c r="E59" s="7" t="s">
        <v>2</v>
      </c>
      <c r="F59" s="174" t="s">
        <v>109</v>
      </c>
      <c r="G59" s="175"/>
      <c r="H59" s="175"/>
      <c r="I59" s="175"/>
      <c r="J59" s="175"/>
      <c r="K59" s="176"/>
    </row>
    <row r="60" spans="1:11" ht="12.75">
      <c r="A60" s="10" t="s">
        <v>110</v>
      </c>
      <c r="B60" s="14">
        <f>IF(B51="a",(B208/B59),(B209/B59))</f>
        <v>0.08817903415885886</v>
      </c>
      <c r="C60" s="2" t="s">
        <v>111</v>
      </c>
      <c r="D60" s="3">
        <f>B60/25.4</f>
        <v>0.0034716155180653098</v>
      </c>
      <c r="E60" s="7" t="s">
        <v>112</v>
      </c>
      <c r="F60" s="174" t="s">
        <v>113</v>
      </c>
      <c r="G60" s="175"/>
      <c r="H60" s="175"/>
      <c r="I60" s="175"/>
      <c r="J60" s="175"/>
      <c r="K60" s="176"/>
    </row>
    <row r="61" spans="1:11" ht="12.75">
      <c r="A61" s="10" t="s">
        <v>114</v>
      </c>
      <c r="B61" s="28">
        <f>(180-31)/25.4</f>
        <v>5.866141732283465</v>
      </c>
      <c r="C61" s="2" t="s">
        <v>47</v>
      </c>
      <c r="D61" s="3">
        <f>B61*25.4</f>
        <v>149</v>
      </c>
      <c r="E61" s="7" t="s">
        <v>2</v>
      </c>
      <c r="F61" s="174" t="s">
        <v>115</v>
      </c>
      <c r="G61" s="175"/>
      <c r="H61" s="175"/>
      <c r="I61" s="175"/>
      <c r="J61" s="175"/>
      <c r="K61" s="176"/>
    </row>
    <row r="62" spans="1:11" ht="12.75">
      <c r="A62" s="10"/>
      <c r="B62" s="25" t="s">
        <v>116</v>
      </c>
      <c r="C62" s="2" t="s">
        <v>117</v>
      </c>
      <c r="D62" s="3" t="s">
        <v>117</v>
      </c>
      <c r="E62" s="7" t="s">
        <v>117</v>
      </c>
      <c r="F62" s="174" t="s">
        <v>118</v>
      </c>
      <c r="G62" s="175"/>
      <c r="H62" s="175"/>
      <c r="I62" s="175"/>
      <c r="J62" s="175"/>
      <c r="K62" s="176"/>
    </row>
    <row r="63" spans="1:11" ht="12.75">
      <c r="A63" s="10" t="s">
        <v>119</v>
      </c>
      <c r="B63" s="28">
        <v>28000000</v>
      </c>
      <c r="C63" s="2" t="s">
        <v>0</v>
      </c>
      <c r="D63" s="3">
        <f>B63*6.894757</f>
        <v>193053196</v>
      </c>
      <c r="E63" s="7" t="s">
        <v>120</v>
      </c>
      <c r="F63" s="174" t="s">
        <v>121</v>
      </c>
      <c r="G63" s="175"/>
      <c r="H63" s="175"/>
      <c r="I63" s="175"/>
      <c r="J63" s="175"/>
      <c r="K63" s="176"/>
    </row>
    <row r="64" spans="1:11" ht="12.75">
      <c r="A64" s="10" t="s">
        <v>122</v>
      </c>
      <c r="B64" s="28">
        <v>2300</v>
      </c>
      <c r="C64" s="2" t="s">
        <v>0</v>
      </c>
      <c r="D64" s="3">
        <f>B64*6.894757</f>
        <v>15857.9411</v>
      </c>
      <c r="E64" s="7" t="s">
        <v>9</v>
      </c>
      <c r="F64" s="174" t="s">
        <v>123</v>
      </c>
      <c r="G64" s="175"/>
      <c r="H64" s="175"/>
      <c r="I64" s="175"/>
      <c r="J64" s="175"/>
      <c r="K64" s="176"/>
    </row>
    <row r="65" spans="1:11" ht="12.75">
      <c r="A65" s="10" t="s">
        <v>124</v>
      </c>
      <c r="B65" s="28">
        <v>20000</v>
      </c>
      <c r="C65" s="2" t="s">
        <v>0</v>
      </c>
      <c r="D65" s="3">
        <f>B65*6.894757</f>
        <v>137895.14</v>
      </c>
      <c r="E65" s="7" t="s">
        <v>9</v>
      </c>
      <c r="F65" s="174" t="s">
        <v>125</v>
      </c>
      <c r="G65" s="175"/>
      <c r="H65" s="175"/>
      <c r="I65" s="175"/>
      <c r="J65" s="175"/>
      <c r="K65" s="176"/>
    </row>
    <row r="66" spans="1:11" ht="12.75">
      <c r="A66" s="10"/>
      <c r="B66" s="25" t="s">
        <v>126</v>
      </c>
      <c r="C66" s="2" t="s">
        <v>117</v>
      </c>
      <c r="D66" s="3" t="s">
        <v>117</v>
      </c>
      <c r="E66" s="7" t="s">
        <v>117</v>
      </c>
      <c r="F66" s="174" t="s">
        <v>127</v>
      </c>
      <c r="G66" s="175"/>
      <c r="H66" s="175"/>
      <c r="I66" s="175"/>
      <c r="J66" s="175"/>
      <c r="K66" s="176"/>
    </row>
    <row r="67" spans="1:11" ht="12.75">
      <c r="A67" s="10" t="s">
        <v>128</v>
      </c>
      <c r="B67" s="28">
        <v>2300</v>
      </c>
      <c r="C67" s="2" t="s">
        <v>0</v>
      </c>
      <c r="D67" s="3">
        <f>B67*6.894757</f>
        <v>15857.9411</v>
      </c>
      <c r="E67" s="7" t="s">
        <v>9</v>
      </c>
      <c r="F67" s="174" t="s">
        <v>129</v>
      </c>
      <c r="G67" s="175"/>
      <c r="H67" s="175"/>
      <c r="I67" s="175"/>
      <c r="J67" s="175"/>
      <c r="K67" s="176"/>
    </row>
    <row r="68" spans="1:11" ht="12.75">
      <c r="A68" s="10" t="s">
        <v>130</v>
      </c>
      <c r="B68" s="28">
        <v>20000</v>
      </c>
      <c r="C68" s="2" t="s">
        <v>0</v>
      </c>
      <c r="D68" s="3">
        <f>B68*6.894757</f>
        <v>137895.14</v>
      </c>
      <c r="E68" s="7" t="s">
        <v>9</v>
      </c>
      <c r="F68" s="174" t="s">
        <v>131</v>
      </c>
      <c r="G68" s="175"/>
      <c r="H68" s="175"/>
      <c r="I68" s="175"/>
      <c r="J68" s="175"/>
      <c r="K68" s="176"/>
    </row>
    <row r="69" spans="1:11" ht="12.75">
      <c r="A69" s="10" t="s">
        <v>132</v>
      </c>
      <c r="B69" s="14">
        <f>IF(B51="a",(B52+(0.5*B53)),IF(B51="b",((B55-B56)/2),IF(B51="c",((B55-B56)/2))))</f>
        <v>3.8562992125984255</v>
      </c>
      <c r="C69" s="2" t="s">
        <v>47</v>
      </c>
      <c r="D69" s="3">
        <f>B69*25.4</f>
        <v>97.95</v>
      </c>
      <c r="E69" s="7" t="s">
        <v>2</v>
      </c>
      <c r="F69" s="174" t="s">
        <v>133</v>
      </c>
      <c r="G69" s="175"/>
      <c r="H69" s="175"/>
      <c r="I69" s="175"/>
      <c r="J69" s="175"/>
      <c r="K69" s="176"/>
    </row>
    <row r="70" spans="1:11" ht="12.75">
      <c r="A70" s="10" t="s">
        <v>134</v>
      </c>
      <c r="B70" s="14">
        <f>IF(B51="a",((B52+B53+B71)/2),IF(B51="b",((B69+B71)/2),IF(B51="c",((B55-B24)/2))))</f>
        <v>4.205430109573289</v>
      </c>
      <c r="C70" s="2" t="s">
        <v>47</v>
      </c>
      <c r="D70" s="3">
        <f>B70*25.4</f>
        <v>106.81792478316153</v>
      </c>
      <c r="E70" s="7" t="s">
        <v>2</v>
      </c>
      <c r="F70" s="174" t="s">
        <v>135</v>
      </c>
      <c r="G70" s="175"/>
      <c r="H70" s="175"/>
      <c r="I70" s="175"/>
      <c r="J70" s="175"/>
      <c r="K70" s="176"/>
    </row>
    <row r="71" spans="1:11" ht="12.75">
      <c r="A71" s="10" t="s">
        <v>136</v>
      </c>
      <c r="B71" s="14">
        <f>(B55-B24)/2</f>
        <v>3.379364156154452</v>
      </c>
      <c r="C71" s="2" t="s">
        <v>47</v>
      </c>
      <c r="D71" s="3">
        <f>B71*25.4</f>
        <v>85.83584956632308</v>
      </c>
      <c r="E71" s="7" t="s">
        <v>2</v>
      </c>
      <c r="F71" s="174" t="s">
        <v>137</v>
      </c>
      <c r="G71" s="175"/>
      <c r="H71" s="175"/>
      <c r="I71" s="175"/>
      <c r="J71" s="175"/>
      <c r="K71" s="176"/>
    </row>
    <row r="72" spans="1:11" ht="12.75">
      <c r="A72" s="180" t="s">
        <v>138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2"/>
    </row>
    <row r="73" spans="1:11" ht="12.75">
      <c r="A73" s="10" t="s">
        <v>139</v>
      </c>
      <c r="B73" s="15">
        <f>3.1416*(B56^2)/4*B20</f>
        <v>285206.27800407837</v>
      </c>
      <c r="C73" s="2" t="s">
        <v>29</v>
      </c>
      <c r="D73" s="3">
        <f>B73*0.4535924</f>
        <v>129367.40013493712</v>
      </c>
      <c r="E73" s="7" t="s">
        <v>1</v>
      </c>
      <c r="F73" s="174" t="s">
        <v>140</v>
      </c>
      <c r="G73" s="175"/>
      <c r="H73" s="175"/>
      <c r="I73" s="175"/>
      <c r="J73" s="175"/>
      <c r="K73" s="176"/>
    </row>
    <row r="74" spans="1:11" ht="12.75">
      <c r="A74" s="10" t="s">
        <v>141</v>
      </c>
      <c r="B74" s="15">
        <f>B25-B73</f>
        <v>25594.84858672769</v>
      </c>
      <c r="C74" s="2" t="s">
        <v>29</v>
      </c>
      <c r="D74" s="3">
        <f>B74*0.4535924</f>
        <v>11609.628798090422</v>
      </c>
      <c r="E74" s="7" t="s">
        <v>1</v>
      </c>
      <c r="F74" s="174" t="s">
        <v>142</v>
      </c>
      <c r="G74" s="175"/>
      <c r="H74" s="175"/>
      <c r="I74" s="175"/>
      <c r="J74" s="175"/>
      <c r="K74" s="176"/>
    </row>
    <row r="75" spans="1:11" ht="21" customHeight="1">
      <c r="A75" s="10" t="s">
        <v>143</v>
      </c>
      <c r="B75" s="15">
        <f>B44-B25</f>
        <v>38838.27380540338</v>
      </c>
      <c r="C75" s="2" t="s">
        <v>29</v>
      </c>
      <c r="D75" s="3">
        <f>B75*0.4535924</f>
        <v>17616.745827250055</v>
      </c>
      <c r="E75" s="7" t="s">
        <v>1</v>
      </c>
      <c r="F75" s="174" t="s">
        <v>144</v>
      </c>
      <c r="G75" s="175"/>
      <c r="H75" s="175"/>
      <c r="I75" s="175"/>
      <c r="J75" s="175"/>
      <c r="K75" s="176"/>
    </row>
    <row r="76" spans="1:11" ht="12.75">
      <c r="A76" s="10" t="s">
        <v>145</v>
      </c>
      <c r="B76" s="15">
        <f>B73*B69</f>
        <v>1099840.745295255</v>
      </c>
      <c r="C76" s="2" t="s">
        <v>56</v>
      </c>
      <c r="D76" s="3">
        <f>B76*0.1152124</f>
        <v>126715.29188325503</v>
      </c>
      <c r="E76" s="7" t="s">
        <v>57</v>
      </c>
      <c r="F76" s="174" t="s">
        <v>146</v>
      </c>
      <c r="G76" s="175"/>
      <c r="H76" s="175"/>
      <c r="I76" s="175"/>
      <c r="J76" s="175"/>
      <c r="K76" s="176"/>
    </row>
    <row r="77" spans="1:11" ht="12.75">
      <c r="A77" s="10" t="s">
        <v>147</v>
      </c>
      <c r="B77" s="15">
        <f>B74*B70</f>
        <v>107637.34689659397</v>
      </c>
      <c r="C77" s="2" t="s">
        <v>56</v>
      </c>
      <c r="D77" s="3">
        <f>B77*0.1152124</f>
        <v>12401.157065589143</v>
      </c>
      <c r="E77" s="7" t="s">
        <v>57</v>
      </c>
      <c r="F77" s="174" t="s">
        <v>148</v>
      </c>
      <c r="G77" s="175"/>
      <c r="H77" s="175"/>
      <c r="I77" s="175"/>
      <c r="J77" s="175"/>
      <c r="K77" s="176"/>
    </row>
    <row r="78" spans="1:11" ht="12.75">
      <c r="A78" s="10" t="s">
        <v>149</v>
      </c>
      <c r="B78" s="15">
        <f>B75*B71</f>
        <v>131248.67038489255</v>
      </c>
      <c r="C78" s="2" t="s">
        <v>56</v>
      </c>
      <c r="D78" s="3">
        <f>B78*0.1152124</f>
        <v>15121.474311852397</v>
      </c>
      <c r="E78" s="7" t="s">
        <v>57</v>
      </c>
      <c r="F78" s="174" t="s">
        <v>150</v>
      </c>
      <c r="G78" s="175"/>
      <c r="H78" s="175"/>
      <c r="I78" s="175"/>
      <c r="J78" s="175"/>
      <c r="K78" s="176"/>
    </row>
    <row r="79" spans="1:11" ht="12.75">
      <c r="A79" s="10" t="s">
        <v>151</v>
      </c>
      <c r="B79" s="15">
        <f>SUM(B76:B78)</f>
        <v>1338726.7625767414</v>
      </c>
      <c r="C79" s="2" t="s">
        <v>56</v>
      </c>
      <c r="D79" s="3">
        <f>B79*0.1152124</f>
        <v>154237.92326069658</v>
      </c>
      <c r="E79" s="7" t="s">
        <v>57</v>
      </c>
      <c r="F79" s="174" t="s">
        <v>152</v>
      </c>
      <c r="G79" s="175"/>
      <c r="H79" s="175"/>
      <c r="I79" s="175"/>
      <c r="J79" s="175"/>
      <c r="K79" s="176"/>
    </row>
    <row r="80" spans="1:11" ht="12.75">
      <c r="A80" s="10" t="s">
        <v>153</v>
      </c>
      <c r="B80" s="32">
        <f>IF(B51="a",(B211*B79)/(B221*(B53^2)*B56),0)</f>
        <v>2889.964089726971</v>
      </c>
      <c r="C80" s="13" t="s">
        <v>0</v>
      </c>
      <c r="D80" s="3">
        <f>B80*6.894757</f>
        <v>19925.600137393663</v>
      </c>
      <c r="E80" s="7" t="s">
        <v>9</v>
      </c>
      <c r="F80" s="174" t="s">
        <v>154</v>
      </c>
      <c r="G80" s="175"/>
      <c r="H80" s="175"/>
      <c r="I80" s="175"/>
      <c r="J80" s="175"/>
      <c r="K80" s="176"/>
    </row>
    <row r="81" spans="1:11" ht="12.75">
      <c r="A81" s="10" t="s">
        <v>155</v>
      </c>
      <c r="B81" s="32">
        <f>IF(B51="a",(((1.33*B61*B60)+1)*B79)/(B221*(B61^2)*B56),0)</f>
        <v>783.1290018264198</v>
      </c>
      <c r="C81" s="13" t="s">
        <v>0</v>
      </c>
      <c r="D81" s="3">
        <f>B81*6.894757</f>
        <v>5399.4841672457205</v>
      </c>
      <c r="E81" s="7" t="s">
        <v>9</v>
      </c>
      <c r="F81" s="174" t="s">
        <v>156</v>
      </c>
      <c r="G81" s="175"/>
      <c r="H81" s="175"/>
      <c r="I81" s="175"/>
      <c r="J81" s="175"/>
      <c r="K81" s="176"/>
    </row>
    <row r="82" spans="1:11" ht="21" customHeight="1">
      <c r="A82" s="10" t="s">
        <v>157</v>
      </c>
      <c r="B82" s="33">
        <f>IF(B51="a",((B215*B79)/((B61^2)*B56))-(B216*B81),(B215*B79)/((B61^2)*B56))</f>
        <v>1211.2212695235712</v>
      </c>
      <c r="C82" s="13" t="s">
        <v>0</v>
      </c>
      <c r="D82" s="3">
        <f>B82*6.894757</f>
        <v>8351.076326596529</v>
      </c>
      <c r="E82" s="7" t="s">
        <v>9</v>
      </c>
      <c r="F82" s="174" t="s">
        <v>158</v>
      </c>
      <c r="G82" s="175"/>
      <c r="H82" s="175"/>
      <c r="I82" s="175"/>
      <c r="J82" s="175"/>
      <c r="K82" s="176"/>
    </row>
    <row r="83" spans="1:11" ht="12.75">
      <c r="A83" s="183" t="s">
        <v>159</v>
      </c>
      <c r="B83" s="184"/>
      <c r="C83" s="185">
        <f>(B80+B81)/2</f>
        <v>1836.5465457766954</v>
      </c>
      <c r="D83" s="185"/>
      <c r="E83" s="17" t="s">
        <v>0</v>
      </c>
      <c r="F83" s="16">
        <f>C83*6.894757</f>
        <v>12662.542152319691</v>
      </c>
      <c r="G83" s="17" t="s">
        <v>9</v>
      </c>
      <c r="H83" s="177" t="s">
        <v>160</v>
      </c>
      <c r="I83" s="178"/>
      <c r="J83" s="178"/>
      <c r="K83" s="179"/>
    </row>
    <row r="84" spans="1:11" ht="12.75">
      <c r="A84" s="183" t="s">
        <v>161</v>
      </c>
      <c r="B84" s="184"/>
      <c r="C84" s="185">
        <f>(B80+B82)/2</f>
        <v>2050.592679625271</v>
      </c>
      <c r="D84" s="185"/>
      <c r="E84" s="17" t="s">
        <v>0</v>
      </c>
      <c r="F84" s="16">
        <f>C84*6.894757</f>
        <v>14138.338231995096</v>
      </c>
      <c r="G84" s="17" t="s">
        <v>9</v>
      </c>
      <c r="H84" s="177" t="s">
        <v>160</v>
      </c>
      <c r="I84" s="178"/>
      <c r="J84" s="178"/>
      <c r="K84" s="179"/>
    </row>
    <row r="85" spans="1:11" ht="12.75">
      <c r="A85" s="180" t="s">
        <v>162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7"/>
    </row>
    <row r="86" spans="1:11" ht="12.75">
      <c r="A86" s="188" t="s">
        <v>163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2"/>
    </row>
    <row r="87" spans="1:11" ht="12.75">
      <c r="A87" s="188" t="s">
        <v>164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2"/>
    </row>
    <row r="88" spans="1:11" ht="12.75">
      <c r="A88" s="188" t="s">
        <v>165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2"/>
    </row>
    <row r="89" spans="1:11" ht="12.75">
      <c r="A89" s="188" t="s">
        <v>166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2"/>
    </row>
    <row r="90" spans="1:11" ht="12.75">
      <c r="A90" s="188" t="s">
        <v>167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2"/>
    </row>
    <row r="91" spans="1:11" ht="12.75">
      <c r="A91" s="183" t="s">
        <v>168</v>
      </c>
      <c r="B91" s="184"/>
      <c r="C91" s="29">
        <v>1</v>
      </c>
      <c r="D91" s="189" t="s">
        <v>169</v>
      </c>
      <c r="E91" s="189"/>
      <c r="F91" s="189"/>
      <c r="G91" s="189"/>
      <c r="H91" s="189"/>
      <c r="I91" s="189"/>
      <c r="J91" s="189"/>
      <c r="K91" s="190"/>
    </row>
    <row r="92" spans="1:11" ht="31.5" customHeight="1">
      <c r="A92" s="183" t="s">
        <v>170</v>
      </c>
      <c r="B92" s="184"/>
      <c r="C92" s="191">
        <f>IF(C91=1,MIN(1.5*B64,2.5*B67),IF(C91=2,MIN(1.5*B64,1.5*B67),IF(C91=3,MIN(1.5*B64,1.5*B67),IF(C91=4,"Não há tensão longitudinal"," "))))</f>
        <v>3450</v>
      </c>
      <c r="D92" s="191"/>
      <c r="E92" s="17" t="s">
        <v>0</v>
      </c>
      <c r="F92" s="18">
        <f>C92*6.894757</f>
        <v>23786.911650000002</v>
      </c>
      <c r="G92" s="17" t="s">
        <v>120</v>
      </c>
      <c r="H92" s="177" t="s">
        <v>171</v>
      </c>
      <c r="I92" s="178"/>
      <c r="J92" s="178"/>
      <c r="K92" s="179"/>
    </row>
    <row r="93" spans="1:11" ht="15.75" customHeight="1">
      <c r="A93" s="183" t="s">
        <v>172</v>
      </c>
      <c r="B93" s="184"/>
      <c r="C93" s="192">
        <f>IF(C91=4,"Não há tensão radial",B64)</f>
        <v>2300</v>
      </c>
      <c r="D93" s="193"/>
      <c r="E93" s="17" t="s">
        <v>0</v>
      </c>
      <c r="F93" s="18">
        <f>C93*6.894757</f>
        <v>15857.9411</v>
      </c>
      <c r="G93" s="7" t="s">
        <v>120</v>
      </c>
      <c r="H93" s="177" t="s">
        <v>122</v>
      </c>
      <c r="I93" s="178"/>
      <c r="J93" s="178"/>
      <c r="K93" s="179"/>
    </row>
    <row r="94" spans="1:11" ht="17.25" customHeight="1">
      <c r="A94" s="183" t="s">
        <v>173</v>
      </c>
      <c r="B94" s="184"/>
      <c r="C94" s="194">
        <f>B64</f>
        <v>2300</v>
      </c>
      <c r="D94" s="194"/>
      <c r="E94" s="17" t="s">
        <v>0</v>
      </c>
      <c r="F94" s="18">
        <f>C94*6.894757</f>
        <v>15857.9411</v>
      </c>
      <c r="G94" s="7" t="s">
        <v>120</v>
      </c>
      <c r="H94" s="177" t="s">
        <v>122</v>
      </c>
      <c r="I94" s="178"/>
      <c r="J94" s="178"/>
      <c r="K94" s="179"/>
    </row>
    <row r="95" spans="1:11" ht="12.75">
      <c r="A95" s="195" t="s">
        <v>174</v>
      </c>
      <c r="B95" s="196"/>
      <c r="C95" s="201" t="str">
        <f>IF(B80&lt;=C92,"A tensão longitudinal está Ok","A tensão longitudinal não passou")</f>
        <v>A tensão longitudinal está Ok</v>
      </c>
      <c r="D95" s="202"/>
      <c r="E95" s="202"/>
      <c r="F95" s="202"/>
      <c r="G95" s="202"/>
      <c r="H95" s="202"/>
      <c r="I95" s="202"/>
      <c r="J95" s="202"/>
      <c r="K95" s="203"/>
    </row>
    <row r="96" spans="1:11" ht="12.75">
      <c r="A96" s="197"/>
      <c r="B96" s="198"/>
      <c r="C96" s="201" t="str">
        <f>IF(B81&lt;=C93,"A tensão radial está Ok","A tensão radial não passou")</f>
        <v>A tensão radial está Ok</v>
      </c>
      <c r="D96" s="202"/>
      <c r="E96" s="202"/>
      <c r="F96" s="202"/>
      <c r="G96" s="202"/>
      <c r="H96" s="202"/>
      <c r="I96" s="202"/>
      <c r="J96" s="202"/>
      <c r="K96" s="203"/>
    </row>
    <row r="97" spans="1:11" ht="12.75">
      <c r="A97" s="197"/>
      <c r="B97" s="198"/>
      <c r="C97" s="201" t="str">
        <f>IF(B82&lt;=C94,"A tensão tangencial está Ok","A tensão tangencial não passou")</f>
        <v>A tensão tangencial está Ok</v>
      </c>
      <c r="D97" s="202"/>
      <c r="E97" s="202"/>
      <c r="F97" s="202"/>
      <c r="G97" s="202"/>
      <c r="H97" s="202"/>
      <c r="I97" s="202"/>
      <c r="J97" s="202"/>
      <c r="K97" s="203"/>
    </row>
    <row r="98" spans="1:11" ht="12.75">
      <c r="A98" s="197"/>
      <c r="B98" s="198"/>
      <c r="C98" s="201" t="str">
        <f>IF(C83&lt;=B64,"Ok, ((SHO+SRO)/2) é menor do que Sfp","Não passou: ((SHO+SRO)/2) é maior do que Sfp")</f>
        <v>Ok, ((SHO+SRO)/2) é menor do que Sfp</v>
      </c>
      <c r="D98" s="202"/>
      <c r="E98" s="202"/>
      <c r="F98" s="202"/>
      <c r="G98" s="202"/>
      <c r="H98" s="202"/>
      <c r="I98" s="202"/>
      <c r="J98" s="202"/>
      <c r="K98" s="203"/>
    </row>
    <row r="99" spans="1:11" ht="12.75">
      <c r="A99" s="199"/>
      <c r="B99" s="200"/>
      <c r="C99" s="201" t="str">
        <f>IF(C84&lt;=B64,"Ok, ((SHO+STO)/2) é menor do que Sfp","Não passou: ((SHO+STO)/2) é mairo do que Sfp")</f>
        <v>Ok, ((SHO+STO)/2) é menor do que Sfp</v>
      </c>
      <c r="D99" s="202"/>
      <c r="E99" s="202"/>
      <c r="F99" s="202"/>
      <c r="G99" s="202"/>
      <c r="H99" s="202"/>
      <c r="I99" s="202"/>
      <c r="J99" s="202"/>
      <c r="K99" s="203"/>
    </row>
    <row r="100" spans="1:11" ht="12.75">
      <c r="A100" s="180" t="s">
        <v>175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2"/>
    </row>
    <row r="101" spans="1:11" ht="12.75">
      <c r="A101" s="10" t="s">
        <v>176</v>
      </c>
      <c r="B101" s="15">
        <f>B43*(B55-B24)/2</f>
        <v>4992974.275728677</v>
      </c>
      <c r="C101" s="2" t="s">
        <v>56</v>
      </c>
      <c r="D101" s="16">
        <f>B101*0.1152124</f>
        <v>575252.5494449628</v>
      </c>
      <c r="E101" s="7" t="s">
        <v>57</v>
      </c>
      <c r="F101" s="174" t="s">
        <v>177</v>
      </c>
      <c r="G101" s="175"/>
      <c r="H101" s="175"/>
      <c r="I101" s="175"/>
      <c r="J101" s="175"/>
      <c r="K101" s="176"/>
    </row>
    <row r="102" spans="1:11" ht="12.75">
      <c r="A102" s="10" t="s">
        <v>178</v>
      </c>
      <c r="B102" s="32">
        <f>IF(B51="a",(B211*B101)/(B221*(B53^2)*B56),0)</f>
        <v>10778.537309594756</v>
      </c>
      <c r="C102" s="13" t="s">
        <v>0</v>
      </c>
      <c r="D102" s="16">
        <f>B102*6.894757</f>
        <v>74315.39556508961</v>
      </c>
      <c r="E102" s="7" t="s">
        <v>120</v>
      </c>
      <c r="F102" s="174" t="s">
        <v>179</v>
      </c>
      <c r="G102" s="175"/>
      <c r="H102" s="175"/>
      <c r="I102" s="175"/>
      <c r="J102" s="175"/>
      <c r="K102" s="176"/>
    </row>
    <row r="103" spans="1:11" ht="12.75">
      <c r="A103" s="10" t="s">
        <v>180</v>
      </c>
      <c r="B103" s="32">
        <f>IF(B51="a",(((1.33*B61*B60)+1)*B101)/(B221*(B61^2)*B56),0)</f>
        <v>2920.792405143424</v>
      </c>
      <c r="C103" s="13" t="s">
        <v>0</v>
      </c>
      <c r="D103" s="16">
        <f>B103*6.894757</f>
        <v>20138.153880909456</v>
      </c>
      <c r="E103" s="7" t="s">
        <v>120</v>
      </c>
      <c r="F103" s="174" t="s">
        <v>181</v>
      </c>
      <c r="G103" s="175"/>
      <c r="H103" s="175"/>
      <c r="I103" s="175"/>
      <c r="J103" s="175"/>
      <c r="K103" s="176"/>
    </row>
    <row r="104" spans="1:11" ht="24.75" customHeight="1">
      <c r="A104" s="10" t="s">
        <v>182</v>
      </c>
      <c r="B104" s="33">
        <f>IF(B51="a",((B215*B101)/((B61^2)*B56))-(B216*B103),(B215*B101)/((B61^2)*B56))</f>
        <v>4517.424174972335</v>
      </c>
      <c r="C104" s="13" t="s">
        <v>0</v>
      </c>
      <c r="D104" s="16">
        <f>B104*6.894757</f>
        <v>31146.541952359734</v>
      </c>
      <c r="E104" s="7" t="s">
        <v>120</v>
      </c>
      <c r="F104" s="174" t="s">
        <v>183</v>
      </c>
      <c r="G104" s="175"/>
      <c r="H104" s="175"/>
      <c r="I104" s="175"/>
      <c r="J104" s="175"/>
      <c r="K104" s="176"/>
    </row>
    <row r="105" spans="1:11" ht="12.75">
      <c r="A105" s="183" t="s">
        <v>184</v>
      </c>
      <c r="B105" s="184"/>
      <c r="C105" s="204">
        <f>(B102+B103)/2</f>
        <v>6849.66485736909</v>
      </c>
      <c r="D105" s="205"/>
      <c r="E105" s="17" t="s">
        <v>0</v>
      </c>
      <c r="F105" s="3">
        <f>C105*6.894757</f>
        <v>47226.77472299954</v>
      </c>
      <c r="G105" s="7" t="s">
        <v>120</v>
      </c>
      <c r="H105" s="177" t="s">
        <v>185</v>
      </c>
      <c r="I105" s="178"/>
      <c r="J105" s="178"/>
      <c r="K105" s="179"/>
    </row>
    <row r="106" spans="1:11" ht="12.75">
      <c r="A106" s="183" t="s">
        <v>186</v>
      </c>
      <c r="B106" s="184"/>
      <c r="C106" s="204">
        <f>(B102+B104)/2</f>
        <v>7647.980742283546</v>
      </c>
      <c r="D106" s="205"/>
      <c r="E106" s="17" t="s">
        <v>0</v>
      </c>
      <c r="F106" s="3">
        <f>C106*6.894757</f>
        <v>52730.96875872467</v>
      </c>
      <c r="G106" s="7" t="s">
        <v>120</v>
      </c>
      <c r="H106" s="177" t="s">
        <v>185</v>
      </c>
      <c r="I106" s="178"/>
      <c r="J106" s="178"/>
      <c r="K106" s="179"/>
    </row>
    <row r="107" spans="1:11" ht="12.75">
      <c r="A107" s="206" t="s">
        <v>187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8"/>
    </row>
    <row r="108" spans="1:11" ht="12.75">
      <c r="A108" s="195" t="s">
        <v>188</v>
      </c>
      <c r="B108" s="196"/>
      <c r="C108" s="201" t="str">
        <f>IF(B102&lt;=1.5*B65,"A tensão longitudinal está Ok","A tensão longitudinal não passou")</f>
        <v>A tensão longitudinal está Ok</v>
      </c>
      <c r="D108" s="202"/>
      <c r="E108" s="202"/>
      <c r="F108" s="202"/>
      <c r="G108" s="202"/>
      <c r="H108" s="202"/>
      <c r="I108" s="202"/>
      <c r="J108" s="202"/>
      <c r="K108" s="203"/>
    </row>
    <row r="109" spans="1:11" ht="12.75">
      <c r="A109" s="197"/>
      <c r="B109" s="198"/>
      <c r="C109" s="201" t="str">
        <f>IF(B103&lt;=B65,"A tensão radial está Ok","A tensão radial não passou")</f>
        <v>A tensão radial está Ok</v>
      </c>
      <c r="D109" s="202"/>
      <c r="E109" s="202"/>
      <c r="F109" s="202"/>
      <c r="G109" s="202"/>
      <c r="H109" s="202"/>
      <c r="I109" s="202"/>
      <c r="J109" s="202"/>
      <c r="K109" s="203"/>
    </row>
    <row r="110" spans="1:11" ht="12.75">
      <c r="A110" s="197"/>
      <c r="B110" s="198"/>
      <c r="C110" s="201" t="str">
        <f>IF(B104&lt;=B65,"A tensão tangencial está Ok","A tensão tangencial não passou")</f>
        <v>A tensão tangencial está Ok</v>
      </c>
      <c r="D110" s="202"/>
      <c r="E110" s="202"/>
      <c r="F110" s="202"/>
      <c r="G110" s="202"/>
      <c r="H110" s="202"/>
      <c r="I110" s="202"/>
      <c r="J110" s="202"/>
      <c r="K110" s="203"/>
    </row>
    <row r="111" spans="1:11" ht="12.75">
      <c r="A111" s="197"/>
      <c r="B111" s="198"/>
      <c r="C111" s="201" t="str">
        <f>IF(C105&lt;=B65,"Ok, ((SHA+SRA)/2) é menor do que Sff","Não passou: ((SHA+SRA)/2) é maior do que Sff")</f>
        <v>Ok, ((SHA+SRA)/2) é menor do que Sff</v>
      </c>
      <c r="D111" s="202"/>
      <c r="E111" s="202"/>
      <c r="F111" s="202"/>
      <c r="G111" s="202"/>
      <c r="H111" s="202"/>
      <c r="I111" s="202"/>
      <c r="J111" s="202"/>
      <c r="K111" s="203"/>
    </row>
    <row r="112" spans="1:11" ht="12.75">
      <c r="A112" s="199"/>
      <c r="B112" s="200"/>
      <c r="C112" s="201" t="str">
        <f>IF(C106&lt;=B65,"Ok, ((SHA+STA)/2) é menor do que Sff","Não passou: ((SHA+STA)/2) é maior do que Sff")</f>
        <v>Ok, ((SHA+STA)/2) é menor do que Sff</v>
      </c>
      <c r="D112" s="202"/>
      <c r="E112" s="202"/>
      <c r="F112" s="202"/>
      <c r="G112" s="202"/>
      <c r="H112" s="202"/>
      <c r="I112" s="202"/>
      <c r="J112" s="202"/>
      <c r="K112" s="203"/>
    </row>
    <row r="113" spans="1:11" ht="21.75" customHeight="1">
      <c r="A113" s="206" t="s">
        <v>189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10"/>
    </row>
    <row r="114" spans="1:13" ht="12.75">
      <c r="A114" s="10" t="s">
        <v>190</v>
      </c>
      <c r="B114" s="28">
        <v>50172.84924647369</v>
      </c>
      <c r="C114" s="2" t="s">
        <v>0</v>
      </c>
      <c r="D114" s="16">
        <f>B114*6.894757</f>
        <v>345929.6035520692</v>
      </c>
      <c r="E114" s="7" t="s">
        <v>120</v>
      </c>
      <c r="F114" s="174" t="s">
        <v>191</v>
      </c>
      <c r="G114" s="175"/>
      <c r="H114" s="175"/>
      <c r="I114" s="175"/>
      <c r="J114" s="175"/>
      <c r="K114" s="176"/>
      <c r="L114" s="34">
        <f>B116/B36</f>
        <v>66529.19810082411</v>
      </c>
      <c r="M114" s="34">
        <f>D116/B36</f>
        <v>30177.138636628253</v>
      </c>
    </row>
    <row r="115" spans="1:12" ht="12.75">
      <c r="A115" s="19" t="s">
        <v>192</v>
      </c>
      <c r="B115" s="20">
        <f>+B114*0.5</f>
        <v>25086.424623236846</v>
      </c>
      <c r="C115" s="2" t="s">
        <v>0</v>
      </c>
      <c r="D115" s="16">
        <f>B115*6.894757</f>
        <v>172964.8017760346</v>
      </c>
      <c r="E115" s="7" t="s">
        <v>120</v>
      </c>
      <c r="F115" s="174" t="s">
        <v>193</v>
      </c>
      <c r="G115" s="175"/>
      <c r="H115" s="175"/>
      <c r="I115" s="175"/>
      <c r="J115" s="175"/>
      <c r="K115" s="176"/>
      <c r="L115" s="28">
        <f>B116/B37/B36</f>
        <v>25086.424623236846</v>
      </c>
    </row>
    <row r="116" spans="1:11" ht="18.75" customHeight="1">
      <c r="A116" s="19" t="s">
        <v>194</v>
      </c>
      <c r="B116" s="16">
        <f>+B115*B37*B36</f>
        <v>3193401.5088395574</v>
      </c>
      <c r="C116" s="2" t="s">
        <v>29</v>
      </c>
      <c r="D116" s="30">
        <f>B116*0.4535924</f>
        <v>1448502.6545581562</v>
      </c>
      <c r="E116" s="7" t="s">
        <v>1</v>
      </c>
      <c r="F116" s="174" t="s">
        <v>195</v>
      </c>
      <c r="G116" s="175"/>
      <c r="H116" s="175"/>
      <c r="I116" s="175"/>
      <c r="J116" s="175"/>
      <c r="K116" s="176"/>
    </row>
    <row r="117" spans="1:11" ht="18" customHeight="1">
      <c r="A117" s="10" t="s">
        <v>196</v>
      </c>
      <c r="B117" s="15">
        <f>B116*(B55-B24)/2</f>
        <v>10791666.595181944</v>
      </c>
      <c r="C117" s="2" t="s">
        <v>56</v>
      </c>
      <c r="D117" s="16">
        <f>B117*0.1152124</f>
        <v>1243333.8084307401</v>
      </c>
      <c r="E117" s="7" t="s">
        <v>57</v>
      </c>
      <c r="F117" s="174" t="s">
        <v>197</v>
      </c>
      <c r="G117" s="175"/>
      <c r="H117" s="175"/>
      <c r="I117" s="175"/>
      <c r="J117" s="175"/>
      <c r="K117" s="176"/>
    </row>
    <row r="118" spans="1:11" ht="20.25" customHeight="1">
      <c r="A118" s="10" t="s">
        <v>198</v>
      </c>
      <c r="B118" s="32">
        <f>IF(B51="a",(B211*B117)/(B221*(B53^2)*B56),0)</f>
        <v>23296.411037867892</v>
      </c>
      <c r="C118" s="13" t="s">
        <v>0</v>
      </c>
      <c r="D118" s="16">
        <f>B118*6.894757</f>
        <v>160623.09307821692</v>
      </c>
      <c r="E118" s="7" t="s">
        <v>120</v>
      </c>
      <c r="F118" s="174" t="s">
        <v>199</v>
      </c>
      <c r="G118" s="175"/>
      <c r="H118" s="175"/>
      <c r="I118" s="175"/>
      <c r="J118" s="175"/>
      <c r="K118" s="176"/>
    </row>
    <row r="119" spans="1:11" ht="21" customHeight="1">
      <c r="A119" s="10" t="s">
        <v>200</v>
      </c>
      <c r="B119" s="32">
        <f>IF(B51="a",(((1.33*B61*B60)+1)*B117)/(B221*(B61^2)*B56),0)</f>
        <v>6312.914124807369</v>
      </c>
      <c r="C119" s="13" t="s">
        <v>0</v>
      </c>
      <c r="D119" s="16">
        <f>B119*6.894757</f>
        <v>43526.00885241448</v>
      </c>
      <c r="E119" s="7" t="s">
        <v>120</v>
      </c>
      <c r="F119" s="174" t="s">
        <v>201</v>
      </c>
      <c r="G119" s="175"/>
      <c r="H119" s="175"/>
      <c r="I119" s="175"/>
      <c r="J119" s="175"/>
      <c r="K119" s="176"/>
    </row>
    <row r="120" spans="1:11" ht="18" customHeight="1">
      <c r="A120" s="10" t="s">
        <v>202</v>
      </c>
      <c r="B120" s="33">
        <f>IF(B51="a",((B215*B117)/((B61^2)*B56))-(B216*B119),(B215*B117)/((B61^2)*B56))</f>
        <v>9763.826703914194</v>
      </c>
      <c r="C120" s="13" t="s">
        <v>0</v>
      </c>
      <c r="D120" s="16">
        <f>B120*6.894757</f>
        <v>67319.21251359931</v>
      </c>
      <c r="E120" s="7" t="s">
        <v>120</v>
      </c>
      <c r="F120" s="174" t="s">
        <v>203</v>
      </c>
      <c r="G120" s="175"/>
      <c r="H120" s="175"/>
      <c r="I120" s="175"/>
      <c r="J120" s="175"/>
      <c r="K120" s="176"/>
    </row>
    <row r="121" spans="1:11" ht="12.75">
      <c r="A121" s="183" t="s">
        <v>204</v>
      </c>
      <c r="B121" s="184"/>
      <c r="C121" s="211">
        <f>(B118+B119)/2</f>
        <v>14804.66258133763</v>
      </c>
      <c r="D121" s="211"/>
      <c r="E121" s="17" t="s">
        <v>0</v>
      </c>
      <c r="F121" s="16">
        <f>C121*6.894757</f>
        <v>102074.5509653157</v>
      </c>
      <c r="G121" s="7" t="s">
        <v>120</v>
      </c>
      <c r="H121" s="177" t="s">
        <v>185</v>
      </c>
      <c r="I121" s="178"/>
      <c r="J121" s="178"/>
      <c r="K121" s="179"/>
    </row>
    <row r="122" spans="1:11" ht="12.75">
      <c r="A122" s="183" t="s">
        <v>205</v>
      </c>
      <c r="B122" s="184"/>
      <c r="C122" s="211">
        <f>(B118+B120)/2</f>
        <v>16530.11887089104</v>
      </c>
      <c r="D122" s="211"/>
      <c r="E122" s="17" t="s">
        <v>0</v>
      </c>
      <c r="F122" s="16">
        <f>C122*6.894757</f>
        <v>113971.15279590811</v>
      </c>
      <c r="G122" s="7" t="s">
        <v>120</v>
      </c>
      <c r="H122" s="177" t="s">
        <v>185</v>
      </c>
      <c r="I122" s="178"/>
      <c r="J122" s="178"/>
      <c r="K122" s="179"/>
    </row>
    <row r="123" spans="1:11" ht="12.75">
      <c r="A123" s="206" t="s">
        <v>206</v>
      </c>
      <c r="B123" s="207"/>
      <c r="C123" s="207"/>
      <c r="D123" s="207"/>
      <c r="E123" s="207"/>
      <c r="F123" s="207"/>
      <c r="G123" s="207"/>
      <c r="H123" s="207"/>
      <c r="I123" s="207"/>
      <c r="J123" s="207"/>
      <c r="K123" s="208"/>
    </row>
    <row r="124" spans="1:11" ht="12.75">
      <c r="A124" s="195" t="s">
        <v>207</v>
      </c>
      <c r="B124" s="196"/>
      <c r="C124" s="201" t="str">
        <f>IF(B118&lt;=1.5*B65,"A tensão longitudinal está Ok","A tensão longitudinal não passou")</f>
        <v>A tensão longitudinal está Ok</v>
      </c>
      <c r="D124" s="202"/>
      <c r="E124" s="202"/>
      <c r="F124" s="202"/>
      <c r="G124" s="202"/>
      <c r="H124" s="202"/>
      <c r="I124" s="202"/>
      <c r="J124" s="202"/>
      <c r="K124" s="203"/>
    </row>
    <row r="125" spans="1:11" ht="12.75">
      <c r="A125" s="197"/>
      <c r="B125" s="198"/>
      <c r="C125" s="201" t="str">
        <f>IF(B119&lt;=B65,"A tensão radial está Ok","A tensão radial não passou")</f>
        <v>A tensão radial está Ok</v>
      </c>
      <c r="D125" s="202"/>
      <c r="E125" s="202"/>
      <c r="F125" s="202"/>
      <c r="G125" s="202"/>
      <c r="H125" s="202"/>
      <c r="I125" s="202"/>
      <c r="J125" s="202"/>
      <c r="K125" s="203"/>
    </row>
    <row r="126" spans="1:11" ht="12.75">
      <c r="A126" s="197"/>
      <c r="B126" s="198"/>
      <c r="C126" s="201" t="str">
        <f>IF(B120&lt;=B65,"A tensão tangencial está Ok","A tensão tangencial não passou")</f>
        <v>A tensão tangencial está Ok</v>
      </c>
      <c r="D126" s="202"/>
      <c r="E126" s="202"/>
      <c r="F126" s="202"/>
      <c r="G126" s="202"/>
      <c r="H126" s="202"/>
      <c r="I126" s="202"/>
      <c r="J126" s="202"/>
      <c r="K126" s="203"/>
    </row>
    <row r="127" spans="1:11" ht="12.75">
      <c r="A127" s="197"/>
      <c r="B127" s="198"/>
      <c r="C127" s="201" t="str">
        <f>IF(C121&lt;=B65,"Ok, ((SHI+SRI)/2) é menor do que Sff","Não passou: ((SHI+SRI)/2) é maior do que Sff")</f>
        <v>Ok, ((SHI+SRI)/2) é menor do que Sff</v>
      </c>
      <c r="D127" s="202"/>
      <c r="E127" s="202"/>
      <c r="F127" s="202"/>
      <c r="G127" s="202"/>
      <c r="H127" s="202"/>
      <c r="I127" s="202"/>
      <c r="J127" s="202"/>
      <c r="K127" s="203"/>
    </row>
    <row r="128" spans="1:11" ht="12.75">
      <c r="A128" s="199"/>
      <c r="B128" s="200"/>
      <c r="C128" s="201" t="str">
        <f>IF(C122&lt;=B65,"Ok, ((SHI+STI)/2) é menor do que Sff","Não passou: ((SHI+STI)/2) é maior do que Sff")</f>
        <v>Ok, ((SHI+STI)/2) é menor do que Sff</v>
      </c>
      <c r="D128" s="202"/>
      <c r="E128" s="202"/>
      <c r="F128" s="202"/>
      <c r="G128" s="202"/>
      <c r="H128" s="202"/>
      <c r="I128" s="202"/>
      <c r="J128" s="202"/>
      <c r="K128" s="203"/>
    </row>
    <row r="129" spans="1:11" ht="12.75">
      <c r="A129" s="180" t="s">
        <v>208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7"/>
    </row>
    <row r="130" spans="1:11" ht="12.75">
      <c r="A130" s="162" t="s">
        <v>365</v>
      </c>
      <c r="B130" s="163"/>
      <c r="C130" s="163"/>
      <c r="D130" s="163"/>
      <c r="E130" s="163"/>
      <c r="F130" s="163"/>
      <c r="G130" s="163"/>
      <c r="H130" s="163"/>
      <c r="I130" s="163"/>
      <c r="J130" s="163"/>
      <c r="K130" s="164"/>
    </row>
    <row r="131" spans="1:11" ht="12.75">
      <c r="A131" s="165" t="s">
        <v>209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7"/>
    </row>
    <row r="132" spans="1:11" ht="12.75">
      <c r="A132" s="165" t="s">
        <v>210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7"/>
    </row>
    <row r="133" spans="1:11" ht="12.75">
      <c r="A133" s="168" t="s">
        <v>211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70"/>
    </row>
    <row r="134" spans="1:11" ht="12.75">
      <c r="A134" s="21" t="s">
        <v>212</v>
      </c>
      <c r="B134" s="31" t="s">
        <v>92</v>
      </c>
      <c r="C134" s="212" t="s">
        <v>213</v>
      </c>
      <c r="D134" s="213"/>
      <c r="E134" s="213"/>
      <c r="F134" s="213"/>
      <c r="G134" s="213"/>
      <c r="H134" s="213"/>
      <c r="I134" s="213"/>
      <c r="J134" s="213"/>
      <c r="K134" s="214"/>
    </row>
    <row r="135" spans="1:11" ht="12.75">
      <c r="A135" s="154" t="s">
        <v>214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6"/>
    </row>
    <row r="136" spans="1:11" ht="12.75">
      <c r="A136" s="10" t="s">
        <v>151</v>
      </c>
      <c r="B136" s="35">
        <f>+B79</f>
        <v>1338726.7625767414</v>
      </c>
      <c r="C136" s="10" t="s">
        <v>215</v>
      </c>
      <c r="D136" s="16">
        <f>B136*0.1152124</f>
        <v>154237.92326069658</v>
      </c>
      <c r="E136" s="7" t="s">
        <v>57</v>
      </c>
      <c r="F136" s="171" t="s">
        <v>216</v>
      </c>
      <c r="G136" s="172"/>
      <c r="H136" s="172"/>
      <c r="I136" s="172"/>
      <c r="J136" s="172"/>
      <c r="K136" s="173"/>
    </row>
    <row r="137" spans="1:11" ht="18.75" customHeight="1">
      <c r="A137" s="10" t="s">
        <v>217</v>
      </c>
      <c r="B137" s="36">
        <f>(52.14*B136*B207)/(B221*B63*(B54^2)*B59*0.3)</f>
        <v>0.12405190160104003</v>
      </c>
      <c r="C137" s="13" t="s">
        <v>218</v>
      </c>
      <c r="D137" s="22">
        <f>B137</f>
        <v>0.12405190160104003</v>
      </c>
      <c r="E137" s="13" t="s">
        <v>218</v>
      </c>
      <c r="F137" s="174" t="s">
        <v>219</v>
      </c>
      <c r="G137" s="175"/>
      <c r="H137" s="175"/>
      <c r="I137" s="175"/>
      <c r="J137" s="175"/>
      <c r="K137" s="176"/>
    </row>
    <row r="138" spans="1:11" ht="21.75" customHeight="1">
      <c r="A138" s="1" t="s">
        <v>220</v>
      </c>
      <c r="B138" s="36">
        <f>(52.14*B136*B210)/(B222*B63*(B54^2)*B59*0.2)</f>
        <v>0.2639104553679002</v>
      </c>
      <c r="C138" s="2" t="s">
        <v>218</v>
      </c>
      <c r="D138" s="22">
        <f>B138</f>
        <v>0.2639104553679002</v>
      </c>
      <c r="E138" s="2" t="s">
        <v>218</v>
      </c>
      <c r="F138" s="148" t="s">
        <v>221</v>
      </c>
      <c r="G138" s="149"/>
      <c r="H138" s="149"/>
      <c r="I138" s="149"/>
      <c r="J138" s="149"/>
      <c r="K138" s="150"/>
    </row>
    <row r="139" spans="1:11" ht="18" customHeight="1">
      <c r="A139" s="10" t="s">
        <v>222</v>
      </c>
      <c r="B139" s="36">
        <f>(109.4*B136)/(B63*(B61^3)*(LN(B213))*0.2)</f>
        <v>0.6891111765512874</v>
      </c>
      <c r="C139" s="13" t="s">
        <v>218</v>
      </c>
      <c r="D139" s="22">
        <f>B139</f>
        <v>0.6891111765512874</v>
      </c>
      <c r="E139" s="13" t="s">
        <v>218</v>
      </c>
      <c r="F139" s="174" t="s">
        <v>223</v>
      </c>
      <c r="G139" s="175"/>
      <c r="H139" s="175"/>
      <c r="I139" s="175"/>
      <c r="J139" s="175"/>
      <c r="K139" s="176"/>
    </row>
    <row r="140" spans="1:11" ht="12.75">
      <c r="A140" s="1" t="s">
        <v>224</v>
      </c>
      <c r="B140" s="23">
        <f>IF(B134="a",B137,IF(B134="b",B138,IF(B134="c",B139)))</f>
        <v>0.12405190160104003</v>
      </c>
      <c r="C140" s="2" t="s">
        <v>14</v>
      </c>
      <c r="D140" s="22">
        <f>B140</f>
        <v>0.12405190160104003</v>
      </c>
      <c r="E140" s="2" t="s">
        <v>14</v>
      </c>
      <c r="F140" s="148" t="s">
        <v>225</v>
      </c>
      <c r="G140" s="149"/>
      <c r="H140" s="149"/>
      <c r="I140" s="149"/>
      <c r="J140" s="149"/>
      <c r="K140" s="150"/>
    </row>
    <row r="141" spans="1:11" ht="12.75" customHeight="1">
      <c r="A141" s="217" t="s">
        <v>226</v>
      </c>
      <c r="B141" s="218"/>
      <c r="C141" s="218"/>
      <c r="D141" s="218"/>
      <c r="E141" s="219"/>
      <c r="F141" s="220" t="str">
        <f>+IF(B140&lt;=1,"OK, os flanges tem rigidez suficiente","Reanalisar, os flanges não tem rigidez suficiente")</f>
        <v>OK, os flanges tem rigidez suficiente</v>
      </c>
      <c r="G141" s="221"/>
      <c r="H141" s="221"/>
      <c r="I141" s="221"/>
      <c r="J141" s="221"/>
      <c r="K141" s="222"/>
    </row>
    <row r="142" spans="1:11" ht="12.75">
      <c r="A142" s="154" t="s">
        <v>227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216"/>
    </row>
    <row r="143" spans="1:11" ht="12.75">
      <c r="A143" s="10" t="s">
        <v>176</v>
      </c>
      <c r="B143" s="35">
        <f>+B101</f>
        <v>4992974.275728677</v>
      </c>
      <c r="C143" s="10" t="s">
        <v>215</v>
      </c>
      <c r="D143" s="16">
        <f>B143*0.1152124</f>
        <v>575252.5494449628</v>
      </c>
      <c r="E143" s="7" t="s">
        <v>57</v>
      </c>
      <c r="F143" s="171" t="s">
        <v>228</v>
      </c>
      <c r="G143" s="172"/>
      <c r="H143" s="172"/>
      <c r="I143" s="172"/>
      <c r="J143" s="172"/>
      <c r="K143" s="173"/>
    </row>
    <row r="144" spans="1:11" ht="19.5" customHeight="1">
      <c r="A144" s="10" t="s">
        <v>217</v>
      </c>
      <c r="B144" s="36">
        <f>(52.14*B143*B207)/(B221*B63*(B54^2)*B59*0.3)</f>
        <v>0.4626694340203064</v>
      </c>
      <c r="C144" s="13" t="s">
        <v>218</v>
      </c>
      <c r="D144" s="22">
        <f>B144</f>
        <v>0.4626694340203064</v>
      </c>
      <c r="E144" s="13" t="s">
        <v>218</v>
      </c>
      <c r="F144" s="174" t="s">
        <v>219</v>
      </c>
      <c r="G144" s="175"/>
      <c r="H144" s="175"/>
      <c r="I144" s="175"/>
      <c r="J144" s="175"/>
      <c r="K144" s="176"/>
    </row>
    <row r="145" spans="1:11" ht="18" customHeight="1">
      <c r="A145" s="1" t="s">
        <v>220</v>
      </c>
      <c r="B145" s="36">
        <f>(52.14*B143*B210)/(B222*B63*(B54^2)*B59*0.2)</f>
        <v>0.9842920539001556</v>
      </c>
      <c r="C145" s="2" t="s">
        <v>218</v>
      </c>
      <c r="D145" s="22">
        <f>B145</f>
        <v>0.9842920539001556</v>
      </c>
      <c r="E145" s="2" t="s">
        <v>218</v>
      </c>
      <c r="F145" s="148" t="s">
        <v>221</v>
      </c>
      <c r="G145" s="149"/>
      <c r="H145" s="149"/>
      <c r="I145" s="149"/>
      <c r="J145" s="149"/>
      <c r="K145" s="150"/>
    </row>
    <row r="146" spans="1:11" ht="24.75" customHeight="1">
      <c r="A146" s="10" t="s">
        <v>222</v>
      </c>
      <c r="B146" s="36">
        <f>(109.4*B143)/(B63*(B61^3)*(LN(B213))*0.2)</f>
        <v>2.5701393845411116</v>
      </c>
      <c r="C146" s="13" t="s">
        <v>218</v>
      </c>
      <c r="D146" s="22">
        <f>B146</f>
        <v>2.5701393845411116</v>
      </c>
      <c r="E146" s="13" t="s">
        <v>218</v>
      </c>
      <c r="F146" s="174" t="s">
        <v>223</v>
      </c>
      <c r="G146" s="175"/>
      <c r="H146" s="175"/>
      <c r="I146" s="175"/>
      <c r="J146" s="175"/>
      <c r="K146" s="176"/>
    </row>
    <row r="147" spans="1:11" ht="12.75">
      <c r="A147" s="1" t="s">
        <v>224</v>
      </c>
      <c r="B147" s="23">
        <f>IF(B134="a",B144,IF(B134="b",B145,IF(B134="c",B146)))</f>
        <v>0.4626694340203064</v>
      </c>
      <c r="C147" s="2" t="s">
        <v>14</v>
      </c>
      <c r="D147" s="22">
        <f>B147</f>
        <v>0.4626694340203064</v>
      </c>
      <c r="E147" s="2" t="s">
        <v>14</v>
      </c>
      <c r="F147" s="148" t="s">
        <v>229</v>
      </c>
      <c r="G147" s="149"/>
      <c r="H147" s="149"/>
      <c r="I147" s="149"/>
      <c r="J147" s="149"/>
      <c r="K147" s="150"/>
    </row>
    <row r="148" spans="1:11" ht="12.75" customHeight="1">
      <c r="A148" s="217" t="s">
        <v>226</v>
      </c>
      <c r="B148" s="218"/>
      <c r="C148" s="218"/>
      <c r="D148" s="218"/>
      <c r="E148" s="219"/>
      <c r="F148" s="220" t="str">
        <f>+IF(B147&lt;=1,"OK, os flanges tem rigidez suficiente","Reanalisar, os flanges não tem rigidez suficiente")</f>
        <v>OK, os flanges tem rigidez suficiente</v>
      </c>
      <c r="G148" s="221"/>
      <c r="H148" s="221"/>
      <c r="I148" s="221"/>
      <c r="J148" s="221"/>
      <c r="K148" s="222"/>
    </row>
    <row r="149" spans="1:11" ht="12.75">
      <c r="A149" s="154" t="s">
        <v>230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6"/>
    </row>
    <row r="150" spans="1:11" ht="12.75">
      <c r="A150" s="10" t="s">
        <v>196</v>
      </c>
      <c r="B150" s="35">
        <f>+B117</f>
        <v>10791666.595181944</v>
      </c>
      <c r="C150" s="10" t="s">
        <v>215</v>
      </c>
      <c r="D150" s="16">
        <f>B150*0.1152124</f>
        <v>1243333.8084307401</v>
      </c>
      <c r="E150" s="7" t="s">
        <v>57</v>
      </c>
      <c r="F150" s="171" t="s">
        <v>231</v>
      </c>
      <c r="G150" s="172"/>
      <c r="H150" s="172"/>
      <c r="I150" s="172"/>
      <c r="J150" s="172"/>
      <c r="K150" s="173"/>
    </row>
    <row r="151" spans="1:11" ht="24.75" customHeight="1">
      <c r="A151" s="10" t="s">
        <v>217</v>
      </c>
      <c r="B151" s="36">
        <f>(52.14*B150*B207)/(B221*B63*(B54^2)*B59*0.3)</f>
        <v>1</v>
      </c>
      <c r="C151" s="13" t="s">
        <v>218</v>
      </c>
      <c r="D151" s="22">
        <f>B151</f>
        <v>1</v>
      </c>
      <c r="E151" s="13" t="s">
        <v>218</v>
      </c>
      <c r="F151" s="174" t="s">
        <v>219</v>
      </c>
      <c r="G151" s="175"/>
      <c r="H151" s="175"/>
      <c r="I151" s="175"/>
      <c r="J151" s="175"/>
      <c r="K151" s="176"/>
    </row>
    <row r="152" spans="1:11" ht="18.75" customHeight="1">
      <c r="A152" s="1" t="s">
        <v>220</v>
      </c>
      <c r="B152" s="36">
        <f>(52.14*B150*B210)/(B222*B63*(B54^2)*B59*0.2)</f>
        <v>2.1274196683953743</v>
      </c>
      <c r="C152" s="2" t="s">
        <v>218</v>
      </c>
      <c r="D152" s="22">
        <f>B152</f>
        <v>2.1274196683953743</v>
      </c>
      <c r="E152" s="2" t="s">
        <v>218</v>
      </c>
      <c r="F152" s="148" t="s">
        <v>221</v>
      </c>
      <c r="G152" s="149"/>
      <c r="H152" s="149"/>
      <c r="I152" s="149"/>
      <c r="J152" s="149"/>
      <c r="K152" s="150"/>
    </row>
    <row r="153" spans="1:11" ht="21.75" customHeight="1">
      <c r="A153" s="10" t="s">
        <v>222</v>
      </c>
      <c r="B153" s="36">
        <f>(109.4*B150)/(B63*(B61^3)*(LN(B213))*0.2)</f>
        <v>5.55502308031939</v>
      </c>
      <c r="C153" s="13" t="s">
        <v>218</v>
      </c>
      <c r="D153" s="22">
        <f>B153</f>
        <v>5.55502308031939</v>
      </c>
      <c r="E153" s="13" t="s">
        <v>218</v>
      </c>
      <c r="F153" s="174" t="s">
        <v>223</v>
      </c>
      <c r="G153" s="175"/>
      <c r="H153" s="175"/>
      <c r="I153" s="175"/>
      <c r="J153" s="175"/>
      <c r="K153" s="176"/>
    </row>
    <row r="154" spans="1:11" ht="12.75">
      <c r="A154" s="1" t="s">
        <v>224</v>
      </c>
      <c r="B154" s="23">
        <f>IF(B134="a",B151,IF(B134="b",B152,IF(B134="c",B153)))</f>
        <v>1</v>
      </c>
      <c r="C154" s="2" t="s">
        <v>14</v>
      </c>
      <c r="D154" s="22">
        <f>B154</f>
        <v>1</v>
      </c>
      <c r="E154" s="2" t="s">
        <v>14</v>
      </c>
      <c r="F154" s="148" t="s">
        <v>232</v>
      </c>
      <c r="G154" s="149"/>
      <c r="H154" s="149"/>
      <c r="I154" s="149"/>
      <c r="J154" s="149"/>
      <c r="K154" s="150"/>
    </row>
    <row r="155" spans="1:11" ht="12.75" customHeight="1">
      <c r="A155" s="217" t="s">
        <v>226</v>
      </c>
      <c r="B155" s="218"/>
      <c r="C155" s="218"/>
      <c r="D155" s="218"/>
      <c r="E155" s="219"/>
      <c r="F155" s="220" t="str">
        <f>+IF(B154&lt;=1,"OK, os flanges tem rigidez suficiente","Reanalisar, os flanges não tem rigidez suficiente")</f>
        <v>OK, os flanges tem rigidez suficiente</v>
      </c>
      <c r="G155" s="221"/>
      <c r="H155" s="221"/>
      <c r="I155" s="221"/>
      <c r="J155" s="221"/>
      <c r="K155" s="222"/>
    </row>
    <row r="156" spans="1:11" ht="12.75">
      <c r="A156" s="217"/>
      <c r="B156" s="218"/>
      <c r="C156" s="218"/>
      <c r="D156" s="218"/>
      <c r="E156" s="218"/>
      <c r="F156" s="218"/>
      <c r="G156" s="218"/>
      <c r="H156" s="218"/>
      <c r="I156" s="218"/>
      <c r="J156" s="218"/>
      <c r="K156" s="219"/>
    </row>
    <row r="157" spans="1:11" ht="12.75">
      <c r="A157" s="217"/>
      <c r="B157" s="218"/>
      <c r="C157" s="218"/>
      <c r="D157" s="218"/>
      <c r="E157" s="218"/>
      <c r="F157" s="218"/>
      <c r="G157" s="218"/>
      <c r="H157" s="218"/>
      <c r="I157" s="218"/>
      <c r="J157" s="218"/>
      <c r="K157" s="219"/>
    </row>
    <row r="158" spans="1:11" ht="12.75">
      <c r="A158" s="223" t="s">
        <v>233</v>
      </c>
      <c r="B158" s="224"/>
      <c r="C158" s="224"/>
      <c r="D158" s="224"/>
      <c r="E158" s="224"/>
      <c r="F158" s="224"/>
      <c r="G158" s="224"/>
      <c r="H158" s="224"/>
      <c r="I158" s="224"/>
      <c r="J158" s="224"/>
      <c r="K158" s="225"/>
    </row>
    <row r="159" spans="1:11" ht="12.75">
      <c r="A159" s="1" t="s">
        <v>108</v>
      </c>
      <c r="B159" s="36">
        <f>(B56*B54)^0.5</f>
        <v>8.580509731379278</v>
      </c>
      <c r="C159" s="2" t="s">
        <v>47</v>
      </c>
      <c r="D159" s="24">
        <f>B159*25.4</f>
        <v>217.94494717703364</v>
      </c>
      <c r="E159" s="7" t="s">
        <v>2</v>
      </c>
      <c r="F159" s="148" t="s">
        <v>234</v>
      </c>
      <c r="G159" s="149"/>
      <c r="H159" s="149"/>
      <c r="I159" s="149"/>
      <c r="J159" s="149"/>
      <c r="K159" s="150"/>
    </row>
    <row r="160" spans="1:11" ht="12.75">
      <c r="A160" s="1" t="s">
        <v>235</v>
      </c>
      <c r="B160" s="36">
        <f>(B53/B54)-1</f>
        <v>1.3880000000000003</v>
      </c>
      <c r="C160" s="2" t="s">
        <v>218</v>
      </c>
      <c r="D160" s="22">
        <f aca="true" t="shared" si="1" ref="D160:D221">B160</f>
        <v>1.3880000000000003</v>
      </c>
      <c r="E160" s="2" t="s">
        <v>218</v>
      </c>
      <c r="F160" s="148" t="s">
        <v>236</v>
      </c>
      <c r="G160" s="149"/>
      <c r="H160" s="149"/>
      <c r="I160" s="149"/>
      <c r="J160" s="149"/>
      <c r="K160" s="150"/>
    </row>
    <row r="161" spans="1:11" ht="12.75">
      <c r="A161" s="1" t="s">
        <v>237</v>
      </c>
      <c r="B161" s="36">
        <f>B53/B54</f>
        <v>2.3880000000000003</v>
      </c>
      <c r="C161" s="2" t="s">
        <v>218</v>
      </c>
      <c r="D161" s="22">
        <f t="shared" si="1"/>
        <v>2.3880000000000003</v>
      </c>
      <c r="E161" s="2" t="s">
        <v>218</v>
      </c>
      <c r="F161" s="148" t="s">
        <v>237</v>
      </c>
      <c r="G161" s="149"/>
      <c r="H161" s="149"/>
      <c r="I161" s="149"/>
      <c r="J161" s="149"/>
      <c r="K161" s="150"/>
    </row>
    <row r="162" spans="1:11" ht="12.75">
      <c r="A162" s="1" t="s">
        <v>238</v>
      </c>
      <c r="B162" s="36">
        <f>B58/B159</f>
        <v>0.7616602364502651</v>
      </c>
      <c r="C162" s="2" t="s">
        <v>218</v>
      </c>
      <c r="D162" s="22">
        <f t="shared" si="1"/>
        <v>0.7616602364502651</v>
      </c>
      <c r="E162" s="2" t="s">
        <v>218</v>
      </c>
      <c r="F162" s="148" t="s">
        <v>238</v>
      </c>
      <c r="G162" s="149"/>
      <c r="H162" s="149"/>
      <c r="I162" s="149"/>
      <c r="J162" s="149"/>
      <c r="K162" s="150"/>
    </row>
    <row r="163" spans="1:11" ht="12.75">
      <c r="A163" s="1" t="s">
        <v>239</v>
      </c>
      <c r="B163" s="36">
        <f>43.68*((B162)^4)</f>
        <v>14.700352966417736</v>
      </c>
      <c r="C163" s="2" t="s">
        <v>218</v>
      </c>
      <c r="D163" s="22">
        <f t="shared" si="1"/>
        <v>14.700352966417736</v>
      </c>
      <c r="E163" s="2" t="s">
        <v>218</v>
      </c>
      <c r="F163" s="148" t="s">
        <v>240</v>
      </c>
      <c r="G163" s="149"/>
      <c r="H163" s="149"/>
      <c r="I163" s="149"/>
      <c r="J163" s="149"/>
      <c r="K163" s="150"/>
    </row>
    <row r="164" spans="1:11" ht="12.75">
      <c r="A164" s="1" t="s">
        <v>241</v>
      </c>
      <c r="B164" s="36">
        <f>0.333333333333333+(B160/12)</f>
        <v>0.449</v>
      </c>
      <c r="C164" s="2" t="s">
        <v>218</v>
      </c>
      <c r="D164" s="22">
        <f t="shared" si="1"/>
        <v>0.449</v>
      </c>
      <c r="E164" s="2" t="s">
        <v>218</v>
      </c>
      <c r="F164" s="148" t="s">
        <v>242</v>
      </c>
      <c r="G164" s="149"/>
      <c r="H164" s="149"/>
      <c r="I164" s="149"/>
      <c r="J164" s="149"/>
      <c r="K164" s="150"/>
    </row>
    <row r="165" spans="1:11" ht="12.75">
      <c r="A165" s="1" t="s">
        <v>243</v>
      </c>
      <c r="B165" s="36">
        <f>(0.119047619047619)+(17*B160/336)</f>
        <v>0.1892738095238095</v>
      </c>
      <c r="C165" s="2" t="s">
        <v>218</v>
      </c>
      <c r="D165" s="22">
        <f t="shared" si="1"/>
        <v>0.1892738095238095</v>
      </c>
      <c r="E165" s="2" t="s">
        <v>218</v>
      </c>
      <c r="F165" s="148" t="s">
        <v>244</v>
      </c>
      <c r="G165" s="149"/>
      <c r="H165" s="149"/>
      <c r="I165" s="149"/>
      <c r="J165" s="149"/>
      <c r="K165" s="150"/>
    </row>
    <row r="166" spans="1:11" ht="12.75">
      <c r="A166" s="1" t="s">
        <v>245</v>
      </c>
      <c r="B166" s="36">
        <f>(0.00476190476190476)+(B160/360)</f>
        <v>0.008617460317460315</v>
      </c>
      <c r="C166" s="2" t="s">
        <v>218</v>
      </c>
      <c r="D166" s="22">
        <f t="shared" si="1"/>
        <v>0.008617460317460315</v>
      </c>
      <c r="E166" s="2" t="s">
        <v>218</v>
      </c>
      <c r="F166" s="148" t="s">
        <v>246</v>
      </c>
      <c r="G166" s="149"/>
      <c r="H166" s="149"/>
      <c r="I166" s="149"/>
      <c r="J166" s="149"/>
      <c r="K166" s="150"/>
    </row>
    <row r="167" spans="1:11" ht="12.75">
      <c r="A167" s="1" t="s">
        <v>247</v>
      </c>
      <c r="B167" s="36">
        <f>(0.0305555555555556)+(59*B160/5040)+((1+(3*B160))/B163)</f>
        <v>0.398088050465934</v>
      </c>
      <c r="C167" s="2" t="s">
        <v>218</v>
      </c>
      <c r="D167" s="22">
        <f t="shared" si="1"/>
        <v>0.398088050465934</v>
      </c>
      <c r="E167" s="2" t="s">
        <v>218</v>
      </c>
      <c r="F167" s="148" t="s">
        <v>248</v>
      </c>
      <c r="G167" s="149"/>
      <c r="H167" s="149"/>
      <c r="I167" s="149"/>
      <c r="J167" s="149"/>
      <c r="K167" s="150"/>
    </row>
    <row r="168" spans="1:11" ht="12.75">
      <c r="A168" s="1" t="s">
        <v>249</v>
      </c>
      <c r="B168" s="36">
        <f>(0.0111111111111111)+(5*B160/1008)-(((1+B160)^3)/B163)</f>
        <v>-0.9083541792393062</v>
      </c>
      <c r="C168" s="2" t="s">
        <v>218</v>
      </c>
      <c r="D168" s="22">
        <f t="shared" si="1"/>
        <v>-0.9083541792393062</v>
      </c>
      <c r="E168" s="2" t="s">
        <v>218</v>
      </c>
      <c r="F168" s="148" t="s">
        <v>250</v>
      </c>
      <c r="G168" s="149"/>
      <c r="H168" s="149"/>
      <c r="I168" s="149"/>
      <c r="J168" s="149"/>
      <c r="K168" s="150"/>
    </row>
    <row r="169" spans="1:11" ht="12.75">
      <c r="A169" s="1" t="s">
        <v>251</v>
      </c>
      <c r="B169" s="36">
        <f>(0.00833333333333333)+(17*B160/5040)+(1/B163)</f>
        <v>0.08104065686546</v>
      </c>
      <c r="C169" s="2" t="s">
        <v>218</v>
      </c>
      <c r="D169" s="22">
        <f t="shared" si="1"/>
        <v>0.08104065686546</v>
      </c>
      <c r="E169" s="2" t="s">
        <v>218</v>
      </c>
      <c r="F169" s="148" t="s">
        <v>252</v>
      </c>
      <c r="G169" s="149"/>
      <c r="H169" s="149"/>
      <c r="I169" s="149"/>
      <c r="J169" s="149"/>
      <c r="K169" s="150"/>
    </row>
    <row r="170" spans="1:11" ht="12.75">
      <c r="A170" s="1" t="s">
        <v>253</v>
      </c>
      <c r="B170" s="36">
        <f>(0.0775613275613276)+(51*B160/1232)+((8.57142857142857)+(225*B160/14)+(75*(B160^2)/7)+(5*(B160^3)/2))/B163</f>
        <v>4.094462957524676</v>
      </c>
      <c r="C170" s="2" t="s">
        <v>218</v>
      </c>
      <c r="D170" s="22">
        <f t="shared" si="1"/>
        <v>4.094462957524676</v>
      </c>
      <c r="E170" s="2" t="s">
        <v>218</v>
      </c>
      <c r="F170" s="148" t="s">
        <v>254</v>
      </c>
      <c r="G170" s="149"/>
      <c r="H170" s="149"/>
      <c r="I170" s="149"/>
      <c r="J170" s="149"/>
      <c r="K170" s="150"/>
    </row>
    <row r="171" spans="1:11" ht="12.75">
      <c r="A171" s="1" t="s">
        <v>255</v>
      </c>
      <c r="B171" s="36">
        <f>(0.00447330447330447)+(128*B160/45045)+((0.857142857142857+15*B160/7)+((12*(B160^2))/7)+((5*(B160^3))/11))/B163</f>
        <v>0.5764003793744289</v>
      </c>
      <c r="C171" s="2" t="s">
        <v>218</v>
      </c>
      <c r="D171" s="22">
        <f t="shared" si="1"/>
        <v>0.5764003793744289</v>
      </c>
      <c r="E171" s="2" t="s">
        <v>218</v>
      </c>
      <c r="F171" s="148" t="s">
        <v>256</v>
      </c>
      <c r="G171" s="149"/>
      <c r="H171" s="149"/>
      <c r="I171" s="149"/>
      <c r="J171" s="149"/>
      <c r="K171" s="150"/>
    </row>
    <row r="172" spans="1:11" ht="12.75">
      <c r="A172" s="1" t="s">
        <v>257</v>
      </c>
      <c r="B172" s="36">
        <f>(533/30240)+(653*B160/73920)+((0.5)+(33*B160/14)+(39*(B160^2)/28)+(25*(B160^3)/84))/B163</f>
        <v>0.5231378892301795</v>
      </c>
      <c r="C172" s="2" t="s">
        <v>218</v>
      </c>
      <c r="D172" s="22">
        <f t="shared" si="1"/>
        <v>0.5231378892301795</v>
      </c>
      <c r="E172" s="2" t="s">
        <v>218</v>
      </c>
      <c r="F172" s="148" t="s">
        <v>258</v>
      </c>
      <c r="G172" s="149"/>
      <c r="H172" s="149"/>
      <c r="I172" s="149"/>
      <c r="J172" s="149"/>
      <c r="K172" s="150"/>
    </row>
    <row r="173" spans="1:11" ht="12.75">
      <c r="A173" s="1" t="s">
        <v>259</v>
      </c>
      <c r="B173" s="36">
        <f>(0.00767195767195767)+(3*B160/704)-((0.5+33*B160/14)+(81*(B160^2)/28)+(13*(B160^3)/12))/B163</f>
        <v>-0.8191695224455393</v>
      </c>
      <c r="C173" s="2" t="s">
        <v>218</v>
      </c>
      <c r="D173" s="22">
        <f t="shared" si="1"/>
        <v>-0.8191695224455393</v>
      </c>
      <c r="E173" s="2" t="s">
        <v>218</v>
      </c>
      <c r="F173" s="148" t="s">
        <v>260</v>
      </c>
      <c r="G173" s="149"/>
      <c r="H173" s="149"/>
      <c r="I173" s="149"/>
      <c r="J173" s="149"/>
      <c r="K173" s="150"/>
    </row>
    <row r="174" spans="1:11" ht="12.75">
      <c r="A174" s="1" t="s">
        <v>261</v>
      </c>
      <c r="B174" s="36">
        <f>(0.00512566137566138)+(1763*B160/665280)+((0.5)+(6*B160/7)+(15*(B160^2)/28)+(5*(B160^3)/42))/B163</f>
        <v>0.2156104694774037</v>
      </c>
      <c r="C174" s="2" t="s">
        <v>218</v>
      </c>
      <c r="D174" s="22">
        <f t="shared" si="1"/>
        <v>0.2156104694774037</v>
      </c>
      <c r="E174" s="2" t="s">
        <v>218</v>
      </c>
      <c r="F174" s="148" t="s">
        <v>262</v>
      </c>
      <c r="G174" s="149"/>
      <c r="H174" s="149"/>
      <c r="I174" s="149"/>
      <c r="J174" s="149"/>
      <c r="K174" s="150"/>
    </row>
    <row r="175" spans="1:11" ht="12.75">
      <c r="A175" s="1" t="s">
        <v>263</v>
      </c>
      <c r="B175" s="36">
        <f>(0.000341880341880342)+(71*B160/300300)+((0.228571428571429)+(18*B160/35)+(156*(B160^2)/385)+(6*(B160^3)/55))/B163</f>
        <v>0.1377238574188158</v>
      </c>
      <c r="C175" s="2" t="s">
        <v>218</v>
      </c>
      <c r="D175" s="22">
        <f t="shared" si="1"/>
        <v>0.1377238574188158</v>
      </c>
      <c r="E175" s="2" t="s">
        <v>218</v>
      </c>
      <c r="F175" s="148" t="s">
        <v>264</v>
      </c>
      <c r="G175" s="149"/>
      <c r="H175" s="149"/>
      <c r="I175" s="149"/>
      <c r="J175" s="149"/>
      <c r="K175" s="150"/>
    </row>
    <row r="176" spans="1:11" ht="12.75">
      <c r="A176" s="1" t="s">
        <v>265</v>
      </c>
      <c r="B176" s="36">
        <f>(761/831600)+(937*B160/1663200)+((0.0285714285714286)+(6*B160/35)+(11*(B160^2)/70)+(3*(B160^3)/70))/B163</f>
        <v>0.048216950585306416</v>
      </c>
      <c r="C176" s="2" t="s">
        <v>218</v>
      </c>
      <c r="D176" s="22">
        <f t="shared" si="1"/>
        <v>0.048216950585306416</v>
      </c>
      <c r="E176" s="2" t="s">
        <v>218</v>
      </c>
      <c r="F176" s="148" t="s">
        <v>266</v>
      </c>
      <c r="G176" s="149"/>
      <c r="H176" s="149"/>
      <c r="I176" s="149"/>
      <c r="J176" s="149"/>
      <c r="K176" s="150"/>
    </row>
    <row r="177" spans="1:11" ht="12.75">
      <c r="A177" s="1" t="s">
        <v>267</v>
      </c>
      <c r="B177" s="36">
        <f>(197/415800)+(103*B160/332640)-((1/35)+(6*B160/35)+(17*(B160^2)/70)+((B160^3)/10))/B163</f>
        <v>-0.06724401432201618</v>
      </c>
      <c r="C177" s="2" t="s">
        <v>218</v>
      </c>
      <c r="D177" s="22">
        <f t="shared" si="1"/>
        <v>-0.06724401432201618</v>
      </c>
      <c r="E177" s="2" t="s">
        <v>218</v>
      </c>
      <c r="F177" s="148" t="s">
        <v>268</v>
      </c>
      <c r="G177" s="149"/>
      <c r="H177" s="149"/>
      <c r="I177" s="149"/>
      <c r="J177" s="149"/>
      <c r="K177" s="150"/>
    </row>
    <row r="178" spans="1:11" ht="12.75">
      <c r="A178" s="1" t="s">
        <v>269</v>
      </c>
      <c r="B178" s="36">
        <f>(233/831600)+(97*B160/554400)+((0.0285714285714286)+(3*B160/35)+((B160^2)/14)+(2*(B160^3)/105))/B163</f>
        <v>0.023385565150437295</v>
      </c>
      <c r="C178" s="2" t="s">
        <v>218</v>
      </c>
      <c r="D178" s="22">
        <f t="shared" si="1"/>
        <v>0.023385565150437295</v>
      </c>
      <c r="E178" s="2" t="s">
        <v>218</v>
      </c>
      <c r="F178" s="148" t="s">
        <v>270</v>
      </c>
      <c r="G178" s="149"/>
      <c r="H178" s="149"/>
      <c r="I178" s="149"/>
      <c r="J178" s="149"/>
      <c r="K178" s="150"/>
    </row>
    <row r="179" spans="1:11" ht="12.75">
      <c r="A179" s="1" t="s">
        <v>271</v>
      </c>
      <c r="B179" s="36">
        <f>(B164*B170*B175)+(B165*B171*B166)+(B166*B171*B165)-(((B166^2)*B170)+((B171^2)*B164)+((B165^2)*B175))</f>
        <v>0.10066118867197457</v>
      </c>
      <c r="C179" s="2" t="s">
        <v>218</v>
      </c>
      <c r="D179" s="22">
        <f t="shared" si="1"/>
        <v>0.10066118867197457</v>
      </c>
      <c r="E179" s="2" t="s">
        <v>218</v>
      </c>
      <c r="F179" s="148" t="s">
        <v>272</v>
      </c>
      <c r="G179" s="149"/>
      <c r="H179" s="149"/>
      <c r="I179" s="149"/>
      <c r="J179" s="149"/>
      <c r="K179" s="150"/>
    </row>
    <row r="180" spans="1:11" ht="12.75">
      <c r="A180" s="1" t="s">
        <v>273</v>
      </c>
      <c r="B180" s="36">
        <f>((B167*B170*B175)+(B165*B171*B176)+(B166*B171*B172)-((B176*B170*B166)+((B171^2)*B167)+(B175*B165*B172)))/B179</f>
        <v>0.8418819702850444</v>
      </c>
      <c r="C180" s="2" t="s">
        <v>218</v>
      </c>
      <c r="D180" s="22">
        <f t="shared" si="1"/>
        <v>0.8418819702850444</v>
      </c>
      <c r="E180" s="2" t="s">
        <v>218</v>
      </c>
      <c r="F180" s="148" t="s">
        <v>274</v>
      </c>
      <c r="G180" s="149"/>
      <c r="H180" s="149"/>
      <c r="I180" s="149"/>
      <c r="J180" s="149"/>
      <c r="K180" s="150"/>
    </row>
    <row r="181" spans="1:11" ht="12.75">
      <c r="A181" s="1" t="s">
        <v>275</v>
      </c>
      <c r="B181" s="36">
        <f>((B168*B170*B175)+(B165*B171*B177)+(B166*B171*B173)-((B177*B170*B166)+((B171^2)*B168)+(B175*B165*B173)))/B179</f>
        <v>-1.968138456056434</v>
      </c>
      <c r="C181" s="2" t="s">
        <v>218</v>
      </c>
      <c r="D181" s="22">
        <f t="shared" si="1"/>
        <v>-1.968138456056434</v>
      </c>
      <c r="E181" s="2" t="s">
        <v>218</v>
      </c>
      <c r="F181" s="148" t="s">
        <v>276</v>
      </c>
      <c r="G181" s="149"/>
      <c r="H181" s="149"/>
      <c r="I181" s="149"/>
      <c r="J181" s="149"/>
      <c r="K181" s="150"/>
    </row>
    <row r="182" spans="1:11" ht="12.75">
      <c r="A182" s="1" t="s">
        <v>277</v>
      </c>
      <c r="B182" s="36">
        <f>((B169*B170*B175)+(B165*B171*B178)+(B166*B171*B174)-((B178*B170*B166)+((B171^2)*B169)+(B175*B165*B174)))/B179</f>
        <v>0.158464422770543</v>
      </c>
      <c r="C182" s="2" t="s">
        <v>218</v>
      </c>
      <c r="D182" s="22">
        <f t="shared" si="1"/>
        <v>0.158464422770543</v>
      </c>
      <c r="E182" s="2" t="s">
        <v>218</v>
      </c>
      <c r="F182" s="148" t="s">
        <v>278</v>
      </c>
      <c r="G182" s="149"/>
      <c r="H182" s="149"/>
      <c r="I182" s="149"/>
      <c r="J182" s="149"/>
      <c r="K182" s="150"/>
    </row>
    <row r="183" spans="1:11" ht="12.75">
      <c r="A183" s="1" t="s">
        <v>279</v>
      </c>
      <c r="B183" s="36">
        <f>((B164*B172*B175)+(B167*B171*B166)+(B166*B176*B165)-(((B166^2)*B172)+(B176*B171*B164)+(B175*B167*B165)))/B179</f>
        <v>0.11435442993254374</v>
      </c>
      <c r="C183" s="2" t="s">
        <v>218</v>
      </c>
      <c r="D183" s="22">
        <f t="shared" si="1"/>
        <v>0.11435442993254374</v>
      </c>
      <c r="E183" s="2" t="s">
        <v>218</v>
      </c>
      <c r="F183" s="148" t="s">
        <v>280</v>
      </c>
      <c r="G183" s="149"/>
      <c r="H183" s="149"/>
      <c r="I183" s="149"/>
      <c r="J183" s="149"/>
      <c r="K183" s="150"/>
    </row>
    <row r="184" spans="1:11" ht="12.75">
      <c r="A184" s="1" t="s">
        <v>281</v>
      </c>
      <c r="B184" s="36">
        <f>((B164*B173*B175)+(B168*B171*B166)+(B166*B177*B165)-(((B166^2)*B173)+(B177*B171*B164)+(B175*B168*B165)))/B179</f>
        <v>-0.14042164848036517</v>
      </c>
      <c r="C184" s="2" t="s">
        <v>218</v>
      </c>
      <c r="D184" s="22">
        <f t="shared" si="1"/>
        <v>-0.14042164848036517</v>
      </c>
      <c r="E184" s="2" t="s">
        <v>218</v>
      </c>
      <c r="F184" s="148" t="s">
        <v>282</v>
      </c>
      <c r="G184" s="149"/>
      <c r="H184" s="149"/>
      <c r="I184" s="149"/>
      <c r="J184" s="149"/>
      <c r="K184" s="150"/>
    </row>
    <row r="185" spans="1:11" ht="12.75">
      <c r="A185" s="1" t="s">
        <v>283</v>
      </c>
      <c r="B185" s="36">
        <f>((B164*B174*B175)+(B169*B171*B166)+(B166*B178*B165)-(((B166^2)*B174)+(B178*B171*B164)+(B175*B169*B165)))/B179</f>
        <v>0.05556055008430482</v>
      </c>
      <c r="C185" s="2" t="s">
        <v>218</v>
      </c>
      <c r="D185" s="22">
        <f t="shared" si="1"/>
        <v>0.05556055008430482</v>
      </c>
      <c r="E185" s="2" t="s">
        <v>218</v>
      </c>
      <c r="F185" s="148" t="s">
        <v>284</v>
      </c>
      <c r="G185" s="149"/>
      <c r="H185" s="149"/>
      <c r="I185" s="149"/>
      <c r="J185" s="149"/>
      <c r="K185" s="150"/>
    </row>
    <row r="186" spans="1:11" ht="12.75">
      <c r="A186" s="1" t="s">
        <v>285</v>
      </c>
      <c r="B186" s="36">
        <f>((B164*B170*B176)+(B165*B172*B166)+(B167*B171*B165)-((B166*B170*B167)+(B171*B172*B164)+((B165^2)*B176)))/B179</f>
        <v>-0.18117319068399906</v>
      </c>
      <c r="C186" s="2" t="s">
        <v>218</v>
      </c>
      <c r="D186" s="22">
        <f t="shared" si="1"/>
        <v>-0.18117319068399906</v>
      </c>
      <c r="E186" s="2" t="s">
        <v>218</v>
      </c>
      <c r="F186" s="148" t="s">
        <v>286</v>
      </c>
      <c r="G186" s="149"/>
      <c r="H186" s="149"/>
      <c r="I186" s="149"/>
      <c r="J186" s="149"/>
      <c r="K186" s="150"/>
    </row>
    <row r="187" spans="1:11" ht="12.75">
      <c r="A187" s="1" t="s">
        <v>287</v>
      </c>
      <c r="B187" s="36">
        <f>((B164*B170*B177)+(B165*B173*B166)+(B168*B171*B165)-((B166*B170*B168)+(B171*B173*B164)+((B165^2)*B177)))/B179</f>
        <v>0.22258621529572958</v>
      </c>
      <c r="C187" s="2" t="s">
        <v>218</v>
      </c>
      <c r="D187" s="22">
        <f t="shared" si="1"/>
        <v>0.22258621529572958</v>
      </c>
      <c r="E187" s="2" t="s">
        <v>218</v>
      </c>
      <c r="F187" s="148" t="s">
        <v>288</v>
      </c>
      <c r="G187" s="149"/>
      <c r="H187" s="149"/>
      <c r="I187" s="149"/>
      <c r="J187" s="149"/>
      <c r="K187" s="150"/>
    </row>
    <row r="188" spans="1:11" ht="12.75">
      <c r="A188" s="1" t="s">
        <v>289</v>
      </c>
      <c r="B188" s="36">
        <f>((B164*B170*B178)+(B165*B174*B166)+(B169*B171*B165)-((B166*B170*B169)+(B171*B174*B164)+((B165^2)*B178)))/B179</f>
        <v>-0.0726462216414472</v>
      </c>
      <c r="C188" s="2" t="s">
        <v>218</v>
      </c>
      <c r="D188" s="22">
        <f t="shared" si="1"/>
        <v>-0.0726462216414472</v>
      </c>
      <c r="E188" s="2" t="s">
        <v>218</v>
      </c>
      <c r="F188" s="148" t="s">
        <v>290</v>
      </c>
      <c r="G188" s="149"/>
      <c r="H188" s="149"/>
      <c r="I188" s="149"/>
      <c r="J188" s="149"/>
      <c r="K188" s="150"/>
    </row>
    <row r="189" spans="1:11" ht="12.75">
      <c r="A189" s="1" t="s">
        <v>291</v>
      </c>
      <c r="B189" s="36">
        <f>-(1)*((B163/4)^0.25)</f>
        <v>-1.3845764573791588</v>
      </c>
      <c r="C189" s="2" t="s">
        <v>218</v>
      </c>
      <c r="D189" s="22">
        <f t="shared" si="1"/>
        <v>-1.3845764573791588</v>
      </c>
      <c r="E189" s="2" t="s">
        <v>218</v>
      </c>
      <c r="F189" s="148" t="s">
        <v>292</v>
      </c>
      <c r="G189" s="149"/>
      <c r="H189" s="149"/>
      <c r="I189" s="149"/>
      <c r="J189" s="149"/>
      <c r="K189" s="150"/>
    </row>
    <row r="190" spans="1:11" ht="12.75">
      <c r="A190" s="1" t="s">
        <v>293</v>
      </c>
      <c r="B190" s="36">
        <f>B183-B180-(0.416666666666667)+(B180*B189)</f>
        <v>-2.3098441629678206</v>
      </c>
      <c r="C190" s="2" t="s">
        <v>218</v>
      </c>
      <c r="D190" s="22">
        <f t="shared" si="1"/>
        <v>-2.3098441629678206</v>
      </c>
      <c r="E190" s="2" t="s">
        <v>218</v>
      </c>
      <c r="F190" s="148" t="s">
        <v>294</v>
      </c>
      <c r="G190" s="149"/>
      <c r="H190" s="149"/>
      <c r="I190" s="149"/>
      <c r="J190" s="149"/>
      <c r="K190" s="150"/>
    </row>
    <row r="191" spans="1:11" ht="12.75">
      <c r="A191" s="1" t="s">
        <v>295</v>
      </c>
      <c r="B191" s="36">
        <f>B185-B182-(0.0833333333333333)+(B182*B189)</f>
        <v>-0.40564331511984325</v>
      </c>
      <c r="C191" s="2" t="s">
        <v>218</v>
      </c>
      <c r="D191" s="22">
        <f t="shared" si="1"/>
        <v>-0.40564331511984325</v>
      </c>
      <c r="E191" s="2" t="s">
        <v>218</v>
      </c>
      <c r="F191" s="148" t="s">
        <v>296</v>
      </c>
      <c r="G191" s="149"/>
      <c r="H191" s="149"/>
      <c r="I191" s="149"/>
      <c r="J191" s="149"/>
      <c r="K191" s="150"/>
    </row>
    <row r="192" spans="1:11" ht="12.75">
      <c r="A192" s="1" t="s">
        <v>297</v>
      </c>
      <c r="B192" s="36">
        <f>(-1)*((B163/4)^0.5)</f>
        <v>-1.9170519663286214</v>
      </c>
      <c r="C192" s="2" t="s">
        <v>218</v>
      </c>
      <c r="D192" s="22">
        <f t="shared" si="1"/>
        <v>-1.9170519663286214</v>
      </c>
      <c r="E192" s="2" t="s">
        <v>218</v>
      </c>
      <c r="F192" s="148" t="s">
        <v>298</v>
      </c>
      <c r="G192" s="149"/>
      <c r="H192" s="149"/>
      <c r="I192" s="149"/>
      <c r="J192" s="149"/>
      <c r="K192" s="150"/>
    </row>
    <row r="193" spans="1:11" ht="12.75">
      <c r="A193" s="1" t="s">
        <v>299</v>
      </c>
      <c r="B193" s="36">
        <f>(-1)*((B163/4)^(3/4))</f>
        <v>-2.654305020151033</v>
      </c>
      <c r="C193" s="2" t="s">
        <v>218</v>
      </c>
      <c r="D193" s="22">
        <f t="shared" si="1"/>
        <v>-2.654305020151033</v>
      </c>
      <c r="E193" s="2" t="s">
        <v>218</v>
      </c>
      <c r="F193" s="148" t="s">
        <v>300</v>
      </c>
      <c r="G193" s="149"/>
      <c r="H193" s="149"/>
      <c r="I193" s="149"/>
      <c r="J193" s="149"/>
      <c r="K193" s="150"/>
    </row>
    <row r="194" spans="1:11" ht="12.75">
      <c r="A194" s="1" t="s">
        <v>301</v>
      </c>
      <c r="B194" s="36">
        <f>(3*B160/2)-(B180*B193)</f>
        <v>4.316611540102237</v>
      </c>
      <c r="C194" s="2" t="s">
        <v>218</v>
      </c>
      <c r="D194" s="22">
        <f t="shared" si="1"/>
        <v>4.316611540102237</v>
      </c>
      <c r="E194" s="2" t="s">
        <v>218</v>
      </c>
      <c r="F194" s="148" t="s">
        <v>302</v>
      </c>
      <c r="G194" s="149"/>
      <c r="H194" s="149"/>
      <c r="I194" s="149"/>
      <c r="J194" s="149"/>
      <c r="K194" s="150"/>
    </row>
    <row r="195" spans="1:11" ht="12.75">
      <c r="A195" s="1" t="s">
        <v>303</v>
      </c>
      <c r="B195" s="36">
        <f>0.5-(B182*B193)</f>
        <v>0.9206129128751881</v>
      </c>
      <c r="C195" s="2" t="s">
        <v>218</v>
      </c>
      <c r="D195" s="22">
        <f t="shared" si="1"/>
        <v>0.9206129128751881</v>
      </c>
      <c r="E195" s="2" t="s">
        <v>218</v>
      </c>
      <c r="F195" s="148" t="s">
        <v>304</v>
      </c>
      <c r="G195" s="149"/>
      <c r="H195" s="149"/>
      <c r="I195" s="149"/>
      <c r="J195" s="149"/>
      <c r="K195" s="150"/>
    </row>
    <row r="196" spans="1:11" ht="12.75">
      <c r="A196" s="1" t="s">
        <v>305</v>
      </c>
      <c r="B196" s="36">
        <f>(0.5*B189*B195)+(B191*B194*B192)-((0.5*B193*B191)+(B195*B190*B192))</f>
        <v>-1.8954712111124632</v>
      </c>
      <c r="C196" s="2" t="s">
        <v>218</v>
      </c>
      <c r="D196" s="22">
        <f t="shared" si="1"/>
        <v>-1.8954712111124632</v>
      </c>
      <c r="E196" s="2" t="s">
        <v>218</v>
      </c>
      <c r="F196" s="148" t="s">
        <v>306</v>
      </c>
      <c r="G196" s="149"/>
      <c r="H196" s="149"/>
      <c r="I196" s="149"/>
      <c r="J196" s="149"/>
      <c r="K196" s="150"/>
    </row>
    <row r="197" spans="1:11" ht="12.75">
      <c r="A197" s="1" t="s">
        <v>307</v>
      </c>
      <c r="B197" s="36">
        <f>0.0833333333333333+B181-B184-(B181*B189)</f>
        <v>-4.46942164536104</v>
      </c>
      <c r="C197" s="2" t="s">
        <v>218</v>
      </c>
      <c r="D197" s="22">
        <f t="shared" si="1"/>
        <v>-4.46942164536104</v>
      </c>
      <c r="E197" s="2" t="s">
        <v>218</v>
      </c>
      <c r="F197" s="148" t="s">
        <v>308</v>
      </c>
      <c r="G197" s="149"/>
      <c r="H197" s="149"/>
      <c r="I197" s="149"/>
      <c r="J197" s="149"/>
      <c r="K197" s="150"/>
    </row>
    <row r="198" spans="1:11" ht="14.25" customHeight="1">
      <c r="A198" s="1" t="s">
        <v>309</v>
      </c>
      <c r="B198" s="36">
        <f>(-1)*B181*((B163/4)^0.75)</f>
        <v>5.224039784262896</v>
      </c>
      <c r="C198" s="2" t="s">
        <v>218</v>
      </c>
      <c r="D198" s="22">
        <f t="shared" si="1"/>
        <v>5.224039784262896</v>
      </c>
      <c r="E198" s="2" t="s">
        <v>218</v>
      </c>
      <c r="F198" s="148" t="s">
        <v>310</v>
      </c>
      <c r="G198" s="149"/>
      <c r="H198" s="149"/>
      <c r="I198" s="149"/>
      <c r="J198" s="149"/>
      <c r="K198" s="150"/>
    </row>
    <row r="199" spans="1:11" ht="12.75">
      <c r="A199" s="1" t="s">
        <v>311</v>
      </c>
      <c r="B199" s="36">
        <f>((B191*B198*B192)-(B195*B197*B192))/B196</f>
        <v>2.0182302085396184</v>
      </c>
      <c r="C199" s="2" t="s">
        <v>218</v>
      </c>
      <c r="D199" s="22">
        <f t="shared" si="1"/>
        <v>2.0182302085396184</v>
      </c>
      <c r="E199" s="2" t="s">
        <v>218</v>
      </c>
      <c r="F199" s="148" t="s">
        <v>312</v>
      </c>
      <c r="G199" s="149"/>
      <c r="H199" s="149"/>
      <c r="I199" s="149"/>
      <c r="J199" s="149"/>
      <c r="K199" s="150"/>
    </row>
    <row r="200" spans="1:11" ht="12.75">
      <c r="A200" s="1" t="s">
        <v>313</v>
      </c>
      <c r="B200" s="36">
        <f>((0.5*B189*B198)+(B197*B194*B192)-((0.5*B193*B197)+(B198*B190*B192)))/B196</f>
        <v>-2.2709642446954375</v>
      </c>
      <c r="C200" s="2" t="s">
        <v>218</v>
      </c>
      <c r="D200" s="22">
        <f t="shared" si="1"/>
        <v>-2.2709642446954375</v>
      </c>
      <c r="E200" s="2" t="s">
        <v>218</v>
      </c>
      <c r="F200" s="148" t="s">
        <v>314</v>
      </c>
      <c r="G200" s="149"/>
      <c r="H200" s="149"/>
      <c r="I200" s="149"/>
      <c r="J200" s="149"/>
      <c r="K200" s="150"/>
    </row>
    <row r="201" spans="1:11" ht="12.75">
      <c r="A201" s="1" t="s">
        <v>315</v>
      </c>
      <c r="B201" s="36">
        <f>(B180*B199)+B181+(B182*B200)</f>
        <v>-0.6288938697705087</v>
      </c>
      <c r="C201" s="2" t="s">
        <v>218</v>
      </c>
      <c r="D201" s="22">
        <f t="shared" si="1"/>
        <v>-0.6288938697705087</v>
      </c>
      <c r="E201" s="2" t="s">
        <v>218</v>
      </c>
      <c r="F201" s="148" t="s">
        <v>316</v>
      </c>
      <c r="G201" s="149"/>
      <c r="H201" s="149"/>
      <c r="I201" s="149"/>
      <c r="J201" s="149"/>
      <c r="K201" s="150"/>
    </row>
    <row r="202" spans="1:11" ht="12.75">
      <c r="A202" s="1" t="s">
        <v>317</v>
      </c>
      <c r="B202" s="36">
        <f>(B183*B199)+B184+(B185*B200)</f>
        <v>-0.035804106167244554</v>
      </c>
      <c r="C202" s="2" t="s">
        <v>218</v>
      </c>
      <c r="D202" s="22">
        <f t="shared" si="1"/>
        <v>-0.035804106167244554</v>
      </c>
      <c r="E202" s="2" t="s">
        <v>218</v>
      </c>
      <c r="F202" s="148" t="s">
        <v>318</v>
      </c>
      <c r="G202" s="149"/>
      <c r="H202" s="149"/>
      <c r="I202" s="149"/>
      <c r="J202" s="149"/>
      <c r="K202" s="150"/>
    </row>
    <row r="203" spans="1:11" ht="12.75">
      <c r="A203" s="1" t="s">
        <v>319</v>
      </c>
      <c r="B203" s="36">
        <f>(B186*B199)+B187+(B188*B200)</f>
        <v>0.021913980739720562</v>
      </c>
      <c r="C203" s="2" t="s">
        <v>218</v>
      </c>
      <c r="D203" s="22">
        <f t="shared" si="1"/>
        <v>0.021913980739720562</v>
      </c>
      <c r="E203" s="2" t="s">
        <v>218</v>
      </c>
      <c r="F203" s="148" t="s">
        <v>320</v>
      </c>
      <c r="G203" s="149"/>
      <c r="H203" s="149"/>
      <c r="I203" s="149"/>
      <c r="J203" s="149"/>
      <c r="K203" s="150"/>
    </row>
    <row r="204" spans="1:11" ht="12.75">
      <c r="A204" s="1" t="s">
        <v>321</v>
      </c>
      <c r="B204" s="36">
        <f>0.25+(B200/12)+(B199/4)-(B203/5)-(3*B202/2)-B201</f>
        <v>1.2435277646170495</v>
      </c>
      <c r="C204" s="2" t="s">
        <v>218</v>
      </c>
      <c r="D204" s="22">
        <f t="shared" si="1"/>
        <v>1.2435277646170495</v>
      </c>
      <c r="E204" s="2" t="s">
        <v>218</v>
      </c>
      <c r="F204" s="148" t="s">
        <v>322</v>
      </c>
      <c r="G204" s="149"/>
      <c r="H204" s="149"/>
      <c r="I204" s="149"/>
      <c r="J204" s="149"/>
      <c r="K204" s="150"/>
    </row>
    <row r="205" spans="1:11" ht="12.75">
      <c r="A205" s="1" t="s">
        <v>323</v>
      </c>
      <c r="B205" s="36">
        <f>B201*(0.5+B160/6)+(B202*(0.25+(11*B160/84)))+(B203*((0.0142857142857143)+(B160/105)))</f>
        <v>-0.47478716034660073</v>
      </c>
      <c r="C205" s="2" t="s">
        <v>218</v>
      </c>
      <c r="D205" s="22">
        <f t="shared" si="1"/>
        <v>-0.47478716034660073</v>
      </c>
      <c r="E205" s="2" t="s">
        <v>218</v>
      </c>
      <c r="F205" s="148" t="s">
        <v>324</v>
      </c>
      <c r="G205" s="149"/>
      <c r="H205" s="149"/>
      <c r="I205" s="149"/>
      <c r="J205" s="149"/>
      <c r="K205" s="150"/>
    </row>
    <row r="206" spans="1:11" ht="12.75">
      <c r="A206" s="1" t="s">
        <v>325</v>
      </c>
      <c r="B206" s="36">
        <f>B205-(B199*((7/120)+(B160/36)+(3*B160/B163)))-(1/40)-(B160/72)-(B200*((1/60)+(B160/120)+(1/B163)))</f>
        <v>-1.0676893468497646</v>
      </c>
      <c r="C206" s="2" t="s">
        <v>218</v>
      </c>
      <c r="D206" s="22">
        <f t="shared" si="1"/>
        <v>-1.0676893468497646</v>
      </c>
      <c r="E206" s="2" t="s">
        <v>218</v>
      </c>
      <c r="F206" s="148" t="s">
        <v>326</v>
      </c>
      <c r="G206" s="149"/>
      <c r="H206" s="149"/>
      <c r="I206" s="149"/>
      <c r="J206" s="149"/>
      <c r="K206" s="150"/>
    </row>
    <row r="207" spans="1:11" ht="12.75">
      <c r="A207" s="1" t="s">
        <v>327</v>
      </c>
      <c r="B207" s="36">
        <f>B204/(((2.73/B163)^0.25)*((1+B160)^3))</f>
        <v>0.13910533864597283</v>
      </c>
      <c r="C207" s="2" t="s">
        <v>218</v>
      </c>
      <c r="D207" s="22">
        <f t="shared" si="1"/>
        <v>0.13910533864597283</v>
      </c>
      <c r="E207" s="2" t="s">
        <v>218</v>
      </c>
      <c r="F207" s="148" t="s">
        <v>328</v>
      </c>
      <c r="G207" s="149"/>
      <c r="H207" s="149"/>
      <c r="I207" s="149"/>
      <c r="J207" s="149"/>
      <c r="K207" s="150"/>
    </row>
    <row r="208" spans="1:11" ht="12.75">
      <c r="A208" s="1" t="s">
        <v>329</v>
      </c>
      <c r="B208" s="36">
        <f>-(1)*B206/(((B163/2.73)^0.25)*(((1+B160)^3)/B163))</f>
        <v>0.7566210607037143</v>
      </c>
      <c r="C208" s="2" t="s">
        <v>218</v>
      </c>
      <c r="D208" s="22">
        <f t="shared" si="1"/>
        <v>0.7566210607037143</v>
      </c>
      <c r="E208" s="2" t="s">
        <v>218</v>
      </c>
      <c r="F208" s="148" t="s">
        <v>330</v>
      </c>
      <c r="G208" s="149"/>
      <c r="H208" s="149"/>
      <c r="I208" s="149"/>
      <c r="J208" s="149"/>
      <c r="K208" s="150"/>
    </row>
    <row r="209" spans="1:11" ht="21.75" customHeight="1">
      <c r="A209" s="10" t="s">
        <v>331</v>
      </c>
      <c r="B209" s="36">
        <f>-(1)*((B181*(0.5+(B160/6)))+(B184*(0.25+(11*B160/84)))+(B187*((1/70)+(B160/105)))-((1/40)+(B160/72)))/(((B163/2.73)^0.25)*(((1+B160)^3)/B163))</f>
        <v>1.0900140240037746</v>
      </c>
      <c r="C209" s="13" t="s">
        <v>218</v>
      </c>
      <c r="D209" s="22">
        <f t="shared" si="1"/>
        <v>1.0900140240037746</v>
      </c>
      <c r="E209" s="13" t="s">
        <v>218</v>
      </c>
      <c r="F209" s="174" t="s">
        <v>332</v>
      </c>
      <c r="G209" s="175"/>
      <c r="H209" s="175"/>
      <c r="I209" s="175"/>
      <c r="J209" s="175"/>
      <c r="K209" s="176"/>
    </row>
    <row r="210" spans="1:11" ht="12.75">
      <c r="A210" s="1" t="s">
        <v>333</v>
      </c>
      <c r="B210" s="36">
        <f>(0.25-(B187/5)-(3*B184/2)-B181)/(((2.73/B163)^0.25)*((1+B160)^3))</f>
        <v>0.2667109057044862</v>
      </c>
      <c r="C210" s="13" t="s">
        <v>218</v>
      </c>
      <c r="D210" s="22">
        <f t="shared" si="1"/>
        <v>0.2667109057044862</v>
      </c>
      <c r="E210" s="13" t="s">
        <v>218</v>
      </c>
      <c r="F210" s="148" t="s">
        <v>334</v>
      </c>
      <c r="G210" s="149"/>
      <c r="H210" s="149"/>
      <c r="I210" s="149"/>
      <c r="J210" s="149"/>
      <c r="K210" s="150"/>
    </row>
    <row r="211" spans="1:11" ht="12.75">
      <c r="A211" s="1" t="s">
        <v>335</v>
      </c>
      <c r="B211" s="36">
        <f>IF((B199/(1+B160))&lt;1,1,(B199/(1+B160)))</f>
        <v>1</v>
      </c>
      <c r="C211" s="13" t="s">
        <v>218</v>
      </c>
      <c r="D211" s="22">
        <f t="shared" si="1"/>
        <v>1</v>
      </c>
      <c r="E211" s="13" t="s">
        <v>218</v>
      </c>
      <c r="F211" s="148" t="s">
        <v>336</v>
      </c>
      <c r="G211" s="149"/>
      <c r="H211" s="149"/>
      <c r="I211" s="149"/>
      <c r="J211" s="149"/>
      <c r="K211" s="150"/>
    </row>
    <row r="212" spans="1:11" ht="12.75">
      <c r="A212" s="1" t="s">
        <v>5</v>
      </c>
      <c r="B212" s="36">
        <f>((B213^2)*(1+8.55246*(LOG(B213,10)))-1)/((1.0472+(1.9448*(B213^2)))*(B213-1))</f>
        <v>1.8361987132724895</v>
      </c>
      <c r="C212" s="2" t="s">
        <v>218</v>
      </c>
      <c r="D212" s="22">
        <f t="shared" si="1"/>
        <v>1.8361987132724895</v>
      </c>
      <c r="E212" s="2" t="s">
        <v>218</v>
      </c>
      <c r="F212" s="148" t="s">
        <v>337</v>
      </c>
      <c r="G212" s="149"/>
      <c r="H212" s="149"/>
      <c r="I212" s="149"/>
      <c r="J212" s="149"/>
      <c r="K212" s="150"/>
    </row>
    <row r="213" spans="1:11" ht="12.75">
      <c r="A213" s="1" t="s">
        <v>338</v>
      </c>
      <c r="B213" s="36">
        <f>+B57/B56</f>
        <v>1.206842105263158</v>
      </c>
      <c r="C213" s="2" t="s">
        <v>218</v>
      </c>
      <c r="D213" s="22">
        <f t="shared" si="1"/>
        <v>1.206842105263158</v>
      </c>
      <c r="E213" s="2" t="s">
        <v>218</v>
      </c>
      <c r="F213" s="148" t="s">
        <v>339</v>
      </c>
      <c r="G213" s="149"/>
      <c r="H213" s="149"/>
      <c r="I213" s="149"/>
      <c r="J213" s="149"/>
      <c r="K213" s="150"/>
    </row>
    <row r="214" spans="1:11" ht="12.75">
      <c r="A214" s="1" t="s">
        <v>340</v>
      </c>
      <c r="B214" s="36">
        <f>((B213^2)*(1+8.55246*(LOG(B213,10)))-1)/(1.36136*((B213^2)-1)*(B213-1))</f>
        <v>11.464073446113284</v>
      </c>
      <c r="C214" s="2" t="s">
        <v>218</v>
      </c>
      <c r="D214" s="22">
        <f t="shared" si="1"/>
        <v>11.464073446113284</v>
      </c>
      <c r="E214" s="2" t="s">
        <v>218</v>
      </c>
      <c r="F214" s="148" t="s">
        <v>341</v>
      </c>
      <c r="G214" s="149"/>
      <c r="H214" s="149"/>
      <c r="I214" s="149"/>
      <c r="J214" s="149"/>
      <c r="K214" s="150"/>
    </row>
    <row r="215" spans="1:11" ht="12.75">
      <c r="A215" s="1" t="s">
        <v>342</v>
      </c>
      <c r="B215" s="36">
        <f>(1/(B213-1))*(0.66845+(5.7169*(B213^2)*(LOG(B213,10))/((B213^2)-1)))</f>
        <v>10.43232957334133</v>
      </c>
      <c r="C215" s="2" t="s">
        <v>218</v>
      </c>
      <c r="D215" s="22">
        <f t="shared" si="1"/>
        <v>10.43232957334133</v>
      </c>
      <c r="E215" s="2" t="s">
        <v>218</v>
      </c>
      <c r="F215" s="148" t="s">
        <v>343</v>
      </c>
      <c r="G215" s="149"/>
      <c r="H215" s="149"/>
      <c r="I215" s="149"/>
      <c r="J215" s="149"/>
      <c r="K215" s="150"/>
    </row>
    <row r="216" spans="1:11" ht="12.75">
      <c r="A216" s="1" t="s">
        <v>344</v>
      </c>
      <c r="B216" s="36">
        <f>((B213^2)+1)/((B213^2)-1)</f>
        <v>5.381469418617845</v>
      </c>
      <c r="C216" s="2" t="s">
        <v>218</v>
      </c>
      <c r="D216" s="22">
        <f t="shared" si="1"/>
        <v>5.381469418617845</v>
      </c>
      <c r="E216" s="2" t="s">
        <v>218</v>
      </c>
      <c r="F216" s="148" t="s">
        <v>345</v>
      </c>
      <c r="G216" s="149"/>
      <c r="H216" s="149"/>
      <c r="I216" s="149"/>
      <c r="J216" s="149"/>
      <c r="K216" s="150"/>
    </row>
    <row r="217" spans="1:11" ht="12.75">
      <c r="A217" s="1" t="s">
        <v>346</v>
      </c>
      <c r="B217" s="36">
        <f>B208/B159</f>
        <v>0.08817903415885886</v>
      </c>
      <c r="C217" s="2" t="s">
        <v>111</v>
      </c>
      <c r="D217" s="22">
        <f>B217/25.4</f>
        <v>0.0034716155180653098</v>
      </c>
      <c r="E217" s="7" t="s">
        <v>112</v>
      </c>
      <c r="F217" s="148" t="s">
        <v>347</v>
      </c>
      <c r="G217" s="149"/>
      <c r="H217" s="149"/>
      <c r="I217" s="149"/>
      <c r="J217" s="149"/>
      <c r="K217" s="150"/>
    </row>
    <row r="218" spans="1:11" ht="12.75">
      <c r="A218" s="1" t="s">
        <v>348</v>
      </c>
      <c r="B218" s="36">
        <f>B209/B159</f>
        <v>0.12703371456098328</v>
      </c>
      <c r="C218" s="2" t="s">
        <v>111</v>
      </c>
      <c r="D218" s="22">
        <f>B218/25.4</f>
        <v>0.0050013273449206015</v>
      </c>
      <c r="E218" s="7" t="s">
        <v>112</v>
      </c>
      <c r="F218" s="148" t="s">
        <v>349</v>
      </c>
      <c r="G218" s="149"/>
      <c r="H218" s="149"/>
      <c r="I218" s="149"/>
      <c r="J218" s="149"/>
      <c r="K218" s="150"/>
    </row>
    <row r="219" spans="1:11" ht="12.75">
      <c r="A219" s="1" t="s">
        <v>350</v>
      </c>
      <c r="B219" s="36">
        <f>(B214/B207)*B159*(B54^2)</f>
        <v>685.0477341532214</v>
      </c>
      <c r="C219" s="2" t="s">
        <v>351</v>
      </c>
      <c r="D219" s="24">
        <f>B219*25.4*25.4*25.4</f>
        <v>11225921.062623825</v>
      </c>
      <c r="E219" s="7" t="s">
        <v>352</v>
      </c>
      <c r="F219" s="148" t="s">
        <v>353</v>
      </c>
      <c r="G219" s="149"/>
      <c r="H219" s="149"/>
      <c r="I219" s="149"/>
      <c r="J219" s="149"/>
      <c r="K219" s="150"/>
    </row>
    <row r="220" spans="1:11" ht="12.75">
      <c r="A220" s="1" t="s">
        <v>354</v>
      </c>
      <c r="B220" s="36">
        <f>(B214/B210)*B159*(B54^2)</f>
        <v>357.2924653993156</v>
      </c>
      <c r="C220" s="2" t="s">
        <v>351</v>
      </c>
      <c r="D220" s="24">
        <f>B220*25.4*25.4*25.4</f>
        <v>5854974.497216368</v>
      </c>
      <c r="E220" s="7" t="s">
        <v>352</v>
      </c>
      <c r="F220" s="148" t="s">
        <v>355</v>
      </c>
      <c r="G220" s="149"/>
      <c r="H220" s="149"/>
      <c r="I220" s="149"/>
      <c r="J220" s="149"/>
      <c r="K220" s="150"/>
    </row>
    <row r="221" spans="1:11" ht="12.75">
      <c r="A221" s="1" t="s">
        <v>356</v>
      </c>
      <c r="B221" s="36">
        <f>(((B61*B217)+1)/B212)+((B61^3)/B219)</f>
        <v>1.1209813464277771</v>
      </c>
      <c r="C221" s="2" t="s">
        <v>218</v>
      </c>
      <c r="D221" s="22">
        <f t="shared" si="1"/>
        <v>1.1209813464277771</v>
      </c>
      <c r="E221" s="2" t="s">
        <v>218</v>
      </c>
      <c r="F221" s="148" t="s">
        <v>357</v>
      </c>
      <c r="G221" s="149"/>
      <c r="H221" s="149"/>
      <c r="I221" s="149"/>
      <c r="J221" s="149"/>
      <c r="K221" s="150"/>
    </row>
    <row r="222" spans="1:11" ht="12.75">
      <c r="A222" s="1" t="s">
        <v>358</v>
      </c>
      <c r="B222" s="36">
        <f>(((B61*B218)+1)/B212)+((B61^3)/B220)</f>
        <v>1.5154215232064807</v>
      </c>
      <c r="C222" s="2" t="s">
        <v>218</v>
      </c>
      <c r="D222" s="22">
        <f>B222</f>
        <v>1.5154215232064807</v>
      </c>
      <c r="E222" s="2" t="s">
        <v>218</v>
      </c>
      <c r="F222" s="148" t="s">
        <v>359</v>
      </c>
      <c r="G222" s="149"/>
      <c r="H222" s="149"/>
      <c r="I222" s="149"/>
      <c r="J222" s="149"/>
      <c r="K222" s="150"/>
    </row>
  </sheetData>
  <sheetProtection password="C7F9" sheet="1" objects="1" scenarios="1"/>
  <mergeCells count="255">
    <mergeCell ref="A1:I1"/>
    <mergeCell ref="J1:K1"/>
    <mergeCell ref="A2:I2"/>
    <mergeCell ref="J2:K2"/>
    <mergeCell ref="A6:E6"/>
    <mergeCell ref="F6:K6"/>
    <mergeCell ref="A7:E7"/>
    <mergeCell ref="F7:K7"/>
    <mergeCell ref="A3:K3"/>
    <mergeCell ref="A4:K4"/>
    <mergeCell ref="A5:E5"/>
    <mergeCell ref="F5:K5"/>
    <mergeCell ref="A8:E8"/>
    <mergeCell ref="F8:K8"/>
    <mergeCell ref="A9:K9"/>
    <mergeCell ref="B10:C10"/>
    <mergeCell ref="D10:E10"/>
    <mergeCell ref="F10:K10"/>
    <mergeCell ref="F15:K15"/>
    <mergeCell ref="F16:K16"/>
    <mergeCell ref="F17:K17"/>
    <mergeCell ref="F18:K18"/>
    <mergeCell ref="F11:K11"/>
    <mergeCell ref="F12:K12"/>
    <mergeCell ref="F13:K13"/>
    <mergeCell ref="F14:K14"/>
    <mergeCell ref="F23:K23"/>
    <mergeCell ref="F24:K24"/>
    <mergeCell ref="F25:K25"/>
    <mergeCell ref="F26:K26"/>
    <mergeCell ref="F19:K19"/>
    <mergeCell ref="F20:K20"/>
    <mergeCell ref="F21:K21"/>
    <mergeCell ref="F22:K22"/>
    <mergeCell ref="A31:K31"/>
    <mergeCell ref="F32:K32"/>
    <mergeCell ref="F33:K33"/>
    <mergeCell ref="F34:K34"/>
    <mergeCell ref="F27:K27"/>
    <mergeCell ref="A28:K28"/>
    <mergeCell ref="F29:K29"/>
    <mergeCell ref="F30:K30"/>
    <mergeCell ref="F40:K40"/>
    <mergeCell ref="F41:K41"/>
    <mergeCell ref="A42:B42"/>
    <mergeCell ref="C42:K42"/>
    <mergeCell ref="F36:K36"/>
    <mergeCell ref="F37:K37"/>
    <mergeCell ref="F38:K38"/>
    <mergeCell ref="F39:K39"/>
    <mergeCell ref="A47:K47"/>
    <mergeCell ref="A48:K48"/>
    <mergeCell ref="A49:K49"/>
    <mergeCell ref="A50:K50"/>
    <mergeCell ref="F43:K43"/>
    <mergeCell ref="F44:K44"/>
    <mergeCell ref="F45:K45"/>
    <mergeCell ref="A46:K46"/>
    <mergeCell ref="F55:K55"/>
    <mergeCell ref="F56:K56"/>
    <mergeCell ref="F57:K57"/>
    <mergeCell ref="F58:K58"/>
    <mergeCell ref="C51:K51"/>
    <mergeCell ref="F52:K52"/>
    <mergeCell ref="F53:K53"/>
    <mergeCell ref="F54:K54"/>
    <mergeCell ref="F63:K63"/>
    <mergeCell ref="F64:K64"/>
    <mergeCell ref="F65:K65"/>
    <mergeCell ref="F66:K66"/>
    <mergeCell ref="F59:K59"/>
    <mergeCell ref="F60:K60"/>
    <mergeCell ref="F61:K61"/>
    <mergeCell ref="F62:K62"/>
    <mergeCell ref="F71:K71"/>
    <mergeCell ref="A72:K72"/>
    <mergeCell ref="F73:K73"/>
    <mergeCell ref="F74:K74"/>
    <mergeCell ref="F67:K67"/>
    <mergeCell ref="F68:K68"/>
    <mergeCell ref="F69:K69"/>
    <mergeCell ref="F70:K70"/>
    <mergeCell ref="F79:K79"/>
    <mergeCell ref="F80:K80"/>
    <mergeCell ref="F81:K81"/>
    <mergeCell ref="F82:K82"/>
    <mergeCell ref="F75:K75"/>
    <mergeCell ref="F76:K76"/>
    <mergeCell ref="F77:K77"/>
    <mergeCell ref="F78:K78"/>
    <mergeCell ref="A83:B83"/>
    <mergeCell ref="C83:D83"/>
    <mergeCell ref="H83:K83"/>
    <mergeCell ref="A84:B84"/>
    <mergeCell ref="C84:D84"/>
    <mergeCell ref="H84:K84"/>
    <mergeCell ref="A89:K89"/>
    <mergeCell ref="A90:K90"/>
    <mergeCell ref="A91:B91"/>
    <mergeCell ref="D91:K91"/>
    <mergeCell ref="A85:K85"/>
    <mergeCell ref="A86:K86"/>
    <mergeCell ref="A87:K87"/>
    <mergeCell ref="A88:K88"/>
    <mergeCell ref="C97:K97"/>
    <mergeCell ref="C98:K98"/>
    <mergeCell ref="C99:K99"/>
    <mergeCell ref="A92:B92"/>
    <mergeCell ref="C92:D92"/>
    <mergeCell ref="H92:K92"/>
    <mergeCell ref="A93:B93"/>
    <mergeCell ref="C93:D93"/>
    <mergeCell ref="H93:K93"/>
    <mergeCell ref="A100:K100"/>
    <mergeCell ref="F101:K101"/>
    <mergeCell ref="F102:K102"/>
    <mergeCell ref="F103:K103"/>
    <mergeCell ref="A94:B94"/>
    <mergeCell ref="C94:D94"/>
    <mergeCell ref="H94:K94"/>
    <mergeCell ref="A95:B99"/>
    <mergeCell ref="C95:K95"/>
    <mergeCell ref="C96:K96"/>
    <mergeCell ref="A106:B106"/>
    <mergeCell ref="C106:D106"/>
    <mergeCell ref="H106:K106"/>
    <mergeCell ref="A107:K107"/>
    <mergeCell ref="F104:K104"/>
    <mergeCell ref="A105:B105"/>
    <mergeCell ref="C105:D105"/>
    <mergeCell ref="H105:K105"/>
    <mergeCell ref="A108:B112"/>
    <mergeCell ref="C108:K108"/>
    <mergeCell ref="C109:K109"/>
    <mergeCell ref="C110:K110"/>
    <mergeCell ref="C111:K111"/>
    <mergeCell ref="C112:K112"/>
    <mergeCell ref="F117:K117"/>
    <mergeCell ref="F118:K118"/>
    <mergeCell ref="F119:K119"/>
    <mergeCell ref="F120:K120"/>
    <mergeCell ref="A113:K113"/>
    <mergeCell ref="F114:K114"/>
    <mergeCell ref="F115:K115"/>
    <mergeCell ref="F116:K116"/>
    <mergeCell ref="A121:B121"/>
    <mergeCell ref="C121:D121"/>
    <mergeCell ref="H121:K121"/>
    <mergeCell ref="A122:B122"/>
    <mergeCell ref="C122:D122"/>
    <mergeCell ref="H122:K122"/>
    <mergeCell ref="A123:K123"/>
    <mergeCell ref="A124:B128"/>
    <mergeCell ref="C124:K124"/>
    <mergeCell ref="C125:K125"/>
    <mergeCell ref="C126:K126"/>
    <mergeCell ref="C127:K127"/>
    <mergeCell ref="C128:K128"/>
    <mergeCell ref="A133:K133"/>
    <mergeCell ref="C134:K134"/>
    <mergeCell ref="A135:K135"/>
    <mergeCell ref="F136:K136"/>
    <mergeCell ref="A129:K129"/>
    <mergeCell ref="A130:K130"/>
    <mergeCell ref="A131:K131"/>
    <mergeCell ref="A132:K132"/>
    <mergeCell ref="A141:E141"/>
    <mergeCell ref="F141:K141"/>
    <mergeCell ref="A142:K142"/>
    <mergeCell ref="F143:K143"/>
    <mergeCell ref="F137:K137"/>
    <mergeCell ref="F138:K138"/>
    <mergeCell ref="F139:K139"/>
    <mergeCell ref="F140:K140"/>
    <mergeCell ref="A148:E148"/>
    <mergeCell ref="F148:K148"/>
    <mergeCell ref="A149:K149"/>
    <mergeCell ref="F150:K150"/>
    <mergeCell ref="F144:K144"/>
    <mergeCell ref="F145:K145"/>
    <mergeCell ref="F146:K146"/>
    <mergeCell ref="F147:K147"/>
    <mergeCell ref="A155:E155"/>
    <mergeCell ref="F155:K155"/>
    <mergeCell ref="A156:K156"/>
    <mergeCell ref="A157:K157"/>
    <mergeCell ref="F151:K151"/>
    <mergeCell ref="F152:K152"/>
    <mergeCell ref="F153:K153"/>
    <mergeCell ref="F154:K154"/>
    <mergeCell ref="F162:K162"/>
    <mergeCell ref="F163:K163"/>
    <mergeCell ref="F164:K164"/>
    <mergeCell ref="F165:K165"/>
    <mergeCell ref="A158:K158"/>
    <mergeCell ref="F159:K159"/>
    <mergeCell ref="F160:K160"/>
    <mergeCell ref="F161:K161"/>
    <mergeCell ref="F170:K170"/>
    <mergeCell ref="F171:K171"/>
    <mergeCell ref="F172:K172"/>
    <mergeCell ref="F173:K173"/>
    <mergeCell ref="F166:K166"/>
    <mergeCell ref="F167:K167"/>
    <mergeCell ref="F168:K168"/>
    <mergeCell ref="F169:K169"/>
    <mergeCell ref="F178:K178"/>
    <mergeCell ref="F179:K179"/>
    <mergeCell ref="F180:K180"/>
    <mergeCell ref="F181:K181"/>
    <mergeCell ref="F174:K174"/>
    <mergeCell ref="F175:K175"/>
    <mergeCell ref="F176:K176"/>
    <mergeCell ref="F177:K177"/>
    <mergeCell ref="F186:K186"/>
    <mergeCell ref="F187:K187"/>
    <mergeCell ref="F188:K188"/>
    <mergeCell ref="F189:K189"/>
    <mergeCell ref="F182:K182"/>
    <mergeCell ref="F183:K183"/>
    <mergeCell ref="F184:K184"/>
    <mergeCell ref="F185:K185"/>
    <mergeCell ref="F194:K194"/>
    <mergeCell ref="F195:K195"/>
    <mergeCell ref="F196:K196"/>
    <mergeCell ref="F197:K197"/>
    <mergeCell ref="F190:K190"/>
    <mergeCell ref="F191:K191"/>
    <mergeCell ref="F192:K192"/>
    <mergeCell ref="F193:K193"/>
    <mergeCell ref="F202:K202"/>
    <mergeCell ref="F203:K203"/>
    <mergeCell ref="F204:K204"/>
    <mergeCell ref="F205:K205"/>
    <mergeCell ref="F198:K198"/>
    <mergeCell ref="F199:K199"/>
    <mergeCell ref="F200:K200"/>
    <mergeCell ref="F201:K201"/>
    <mergeCell ref="F210:K210"/>
    <mergeCell ref="F211:K211"/>
    <mergeCell ref="F212:K212"/>
    <mergeCell ref="F213:K213"/>
    <mergeCell ref="F206:K206"/>
    <mergeCell ref="F207:K207"/>
    <mergeCell ref="F208:K208"/>
    <mergeCell ref="F209:K209"/>
    <mergeCell ref="F222:K222"/>
    <mergeCell ref="F218:K218"/>
    <mergeCell ref="F219:K219"/>
    <mergeCell ref="F220:K220"/>
    <mergeCell ref="F221:K221"/>
    <mergeCell ref="F214:K214"/>
    <mergeCell ref="F215:K215"/>
    <mergeCell ref="F216:K216"/>
    <mergeCell ref="F217:K217"/>
  </mergeCells>
  <conditionalFormatting sqref="C95:K95 C108:K108 C124:K124">
    <cfRule type="cellIs" priority="1" dxfId="1" operator="equal" stopIfTrue="1">
      <formula>"A tensão longitudinal não passou"</formula>
    </cfRule>
  </conditionalFormatting>
  <conditionalFormatting sqref="C96:K96 C109:K109 C125:K125">
    <cfRule type="cellIs" priority="2" dxfId="1" operator="equal" stopIfTrue="1">
      <formula>"A tensão radial não passou"</formula>
    </cfRule>
  </conditionalFormatting>
  <conditionalFormatting sqref="C97:K97 C110:K110 C126:K126">
    <cfRule type="cellIs" priority="3" dxfId="1" operator="equal" stopIfTrue="1">
      <formula>"A tensão tangencial não passou"</formula>
    </cfRule>
  </conditionalFormatting>
  <conditionalFormatting sqref="C98:K98">
    <cfRule type="cellIs" priority="4" dxfId="1" operator="equal" stopIfTrue="1">
      <formula>"Não passou: ((SHO+SRO)/2) é maior do que Sfp"</formula>
    </cfRule>
  </conditionalFormatting>
  <conditionalFormatting sqref="C99:K99">
    <cfRule type="cellIs" priority="5" dxfId="1" operator="equal" stopIfTrue="1">
      <formula>"Não passou: ((SHO+STO)/2) é mairo do que Sfp"</formula>
    </cfRule>
  </conditionalFormatting>
  <conditionalFormatting sqref="C111:K111">
    <cfRule type="cellIs" priority="6" dxfId="1" operator="equal" stopIfTrue="1">
      <formula>"Não passou: ((SHA+SRA)/2) é maior do que Sff"</formula>
    </cfRule>
  </conditionalFormatting>
  <conditionalFormatting sqref="C112:K112">
    <cfRule type="cellIs" priority="7" dxfId="1" operator="equal" stopIfTrue="1">
      <formula>"Não passou: ((SHA+STA)/2) é maior do que Sff"</formula>
    </cfRule>
  </conditionalFormatting>
  <conditionalFormatting sqref="C127:K127">
    <cfRule type="cellIs" priority="8" dxfId="1" operator="equal" stopIfTrue="1">
      <formula>"Não passou: ((SHI+SRI)/2) é maior do que Sff"</formula>
    </cfRule>
  </conditionalFormatting>
  <conditionalFormatting sqref="C128:K128">
    <cfRule type="cellIs" priority="9" dxfId="1" operator="equal" stopIfTrue="1">
      <formula>"Não passou: ((SHI+STI)/2) é maior do que Sff"</formula>
    </cfRule>
  </conditionalFormatting>
  <conditionalFormatting sqref="F141:K141 F148:K148 F155:K155">
    <cfRule type="cellIs" priority="10" dxfId="1" operator="equal" stopIfTrue="1">
      <formula>"Reanalisar, os flanges não tem rigidez suficiente"</formula>
    </cfRule>
  </conditionalFormatting>
  <conditionalFormatting sqref="C42:K42">
    <cfRule type="cellIs" priority="11" dxfId="0" operator="equal" stopIfTrue="1">
      <formula>"A área resistente dos parafusos está OK!"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2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9.140625" style="34" customWidth="1"/>
    <col min="2" max="2" width="12.28125" style="34" customWidth="1"/>
    <col min="3" max="3" width="9.140625" style="34" customWidth="1"/>
    <col min="4" max="4" width="12.00390625" style="34" customWidth="1"/>
    <col min="5" max="10" width="9.140625" style="34" customWidth="1"/>
    <col min="11" max="11" width="13.57421875" style="34" customWidth="1"/>
    <col min="12" max="16384" width="9.140625" style="34" customWidth="1"/>
  </cols>
  <sheetData>
    <row r="1" spans="1:11" ht="14.25">
      <c r="A1" s="106" t="s">
        <v>34</v>
      </c>
      <c r="B1" s="107"/>
      <c r="C1" s="107"/>
      <c r="D1" s="107"/>
      <c r="E1" s="107"/>
      <c r="F1" s="107"/>
      <c r="G1" s="107"/>
      <c r="H1" s="107"/>
      <c r="I1" s="108"/>
      <c r="J1" s="109" t="s">
        <v>35</v>
      </c>
      <c r="K1" s="110"/>
    </row>
    <row r="2" spans="1:11" ht="12.75">
      <c r="A2" s="111" t="s">
        <v>36</v>
      </c>
      <c r="B2" s="112"/>
      <c r="C2" s="112"/>
      <c r="D2" s="112"/>
      <c r="E2" s="112"/>
      <c r="F2" s="112"/>
      <c r="G2" s="112"/>
      <c r="H2" s="112"/>
      <c r="I2" s="113"/>
      <c r="J2" s="114" t="s">
        <v>37</v>
      </c>
      <c r="K2" s="115"/>
    </row>
    <row r="3" spans="1:11" ht="12.7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8">
      <c r="A4" s="119" t="s">
        <v>38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2.75">
      <c r="A5" s="120" t="s">
        <v>39</v>
      </c>
      <c r="B5" s="121"/>
      <c r="C5" s="121"/>
      <c r="D5" s="121"/>
      <c r="E5" s="122"/>
      <c r="F5" s="123" t="s">
        <v>387</v>
      </c>
      <c r="G5" s="124"/>
      <c r="H5" s="124"/>
      <c r="I5" s="124"/>
      <c r="J5" s="124"/>
      <c r="K5" s="125"/>
    </row>
    <row r="6" spans="1:11" ht="12.75">
      <c r="A6" s="120" t="s">
        <v>40</v>
      </c>
      <c r="B6" s="121"/>
      <c r="C6" s="121"/>
      <c r="D6" s="121"/>
      <c r="E6" s="122"/>
      <c r="F6" s="126" t="s">
        <v>391</v>
      </c>
      <c r="G6" s="127"/>
      <c r="H6" s="127"/>
      <c r="I6" s="127"/>
      <c r="J6" s="127"/>
      <c r="K6" s="128"/>
    </row>
    <row r="7" spans="1:11" ht="12.75">
      <c r="A7" s="120" t="s">
        <v>41</v>
      </c>
      <c r="B7" s="121"/>
      <c r="C7" s="121"/>
      <c r="D7" s="121"/>
      <c r="E7" s="122"/>
      <c r="F7" s="126" t="s">
        <v>390</v>
      </c>
      <c r="G7" s="127"/>
      <c r="H7" s="127"/>
      <c r="I7" s="127"/>
      <c r="J7" s="127"/>
      <c r="K7" s="128"/>
    </row>
    <row r="8" spans="1:11" ht="12.75">
      <c r="A8" s="120" t="s">
        <v>42</v>
      </c>
      <c r="B8" s="121"/>
      <c r="C8" s="121"/>
      <c r="D8" s="121"/>
      <c r="E8" s="122"/>
      <c r="F8" s="129" t="s">
        <v>368</v>
      </c>
      <c r="G8" s="130"/>
      <c r="H8" s="130"/>
      <c r="I8" s="130"/>
      <c r="J8" s="130"/>
      <c r="K8" s="131"/>
    </row>
    <row r="9" spans="1:11" ht="12.75">
      <c r="A9" s="132" t="s">
        <v>43</v>
      </c>
      <c r="B9" s="133"/>
      <c r="C9" s="133"/>
      <c r="D9" s="133"/>
      <c r="E9" s="133"/>
      <c r="F9" s="133"/>
      <c r="G9" s="133"/>
      <c r="H9" s="133"/>
      <c r="I9" s="133"/>
      <c r="J9" s="133"/>
      <c r="K9" s="134"/>
    </row>
    <row r="10" spans="1:11" ht="12.75">
      <c r="A10" s="9"/>
      <c r="B10" s="135" t="s">
        <v>44</v>
      </c>
      <c r="C10" s="136"/>
      <c r="D10" s="135" t="s">
        <v>45</v>
      </c>
      <c r="E10" s="136"/>
      <c r="F10" s="137"/>
      <c r="G10" s="133"/>
      <c r="H10" s="133"/>
      <c r="I10" s="133"/>
      <c r="J10" s="133"/>
      <c r="K10" s="138"/>
    </row>
    <row r="11" spans="1:11" ht="12.75">
      <c r="A11" s="1" t="s">
        <v>46</v>
      </c>
      <c r="B11" s="25">
        <v>39.63</v>
      </c>
      <c r="C11" s="2" t="s">
        <v>47</v>
      </c>
      <c r="D11" s="3">
        <f>B11*25.4</f>
        <v>1006.602</v>
      </c>
      <c r="E11" s="7" t="s">
        <v>2</v>
      </c>
      <c r="F11" s="139" t="s">
        <v>48</v>
      </c>
      <c r="G11" s="140"/>
      <c r="H11" s="140"/>
      <c r="I11" s="140"/>
      <c r="J11" s="140"/>
      <c r="K11" s="141"/>
    </row>
    <row r="12" spans="1:11" ht="12.75">
      <c r="A12" s="1" t="s">
        <v>49</v>
      </c>
      <c r="B12" s="25">
        <v>37.63</v>
      </c>
      <c r="C12" s="2" t="s">
        <v>47</v>
      </c>
      <c r="D12" s="3">
        <f>B12*25.4</f>
        <v>955.802</v>
      </c>
      <c r="E12" s="7" t="s">
        <v>2</v>
      </c>
      <c r="F12" s="139" t="s">
        <v>50</v>
      </c>
      <c r="G12" s="140"/>
      <c r="H12" s="140"/>
      <c r="I12" s="140"/>
      <c r="J12" s="140"/>
      <c r="K12" s="141"/>
    </row>
    <row r="13" spans="1:11" ht="12.75">
      <c r="A13" s="1" t="s">
        <v>51</v>
      </c>
      <c r="B13" s="26">
        <v>3</v>
      </c>
      <c r="C13" s="2" t="s">
        <v>14</v>
      </c>
      <c r="D13" s="3">
        <f>B13</f>
        <v>3</v>
      </c>
      <c r="E13" s="2" t="s">
        <v>14</v>
      </c>
      <c r="F13" s="139" t="s">
        <v>52</v>
      </c>
      <c r="G13" s="140"/>
      <c r="H13" s="140"/>
      <c r="I13" s="140"/>
      <c r="J13" s="140"/>
      <c r="K13" s="141"/>
    </row>
    <row r="14" spans="1:11" ht="12.75">
      <c r="A14" s="1" t="s">
        <v>53</v>
      </c>
      <c r="B14" s="27">
        <f>3*14.22</f>
        <v>42.660000000000004</v>
      </c>
      <c r="C14" s="2" t="s">
        <v>0</v>
      </c>
      <c r="D14" s="3">
        <f>B14*6.894757</f>
        <v>294.13033362000004</v>
      </c>
      <c r="E14" s="7" t="s">
        <v>9</v>
      </c>
      <c r="F14" s="142" t="s">
        <v>54</v>
      </c>
      <c r="G14" s="143"/>
      <c r="H14" s="143"/>
      <c r="I14" s="143"/>
      <c r="J14" s="143"/>
      <c r="K14" s="144"/>
    </row>
    <row r="15" spans="1:11" ht="12.75">
      <c r="A15" s="1" t="s">
        <v>55</v>
      </c>
      <c r="B15" s="27">
        <v>422826</v>
      </c>
      <c r="C15" s="2" t="s">
        <v>56</v>
      </c>
      <c r="D15" s="3">
        <f>B15*0.01152124</f>
        <v>4871.47982424</v>
      </c>
      <c r="E15" s="7" t="s">
        <v>57</v>
      </c>
      <c r="F15" s="142" t="s">
        <v>58</v>
      </c>
      <c r="G15" s="143"/>
      <c r="H15" s="143"/>
      <c r="I15" s="143"/>
      <c r="J15" s="143"/>
      <c r="K15" s="144"/>
    </row>
    <row r="16" spans="1:11" ht="17.25" customHeight="1">
      <c r="A16" s="10" t="s">
        <v>59</v>
      </c>
      <c r="B16" s="27">
        <f>273+2876890*0</f>
        <v>273</v>
      </c>
      <c r="C16" s="2" t="s">
        <v>29</v>
      </c>
      <c r="D16" s="3">
        <f>B16*0.4535924</f>
        <v>123.8307252</v>
      </c>
      <c r="E16" s="7" t="s">
        <v>1</v>
      </c>
      <c r="F16" s="145" t="s">
        <v>60</v>
      </c>
      <c r="G16" s="146"/>
      <c r="H16" s="146"/>
      <c r="I16" s="146"/>
      <c r="J16" s="146"/>
      <c r="K16" s="147"/>
    </row>
    <row r="17" spans="1:11" ht="12.75">
      <c r="A17" s="1" t="s">
        <v>61</v>
      </c>
      <c r="B17" s="8">
        <f>(16*B15)/(3.14*(B24^3))</f>
        <v>36.537318823636966</v>
      </c>
      <c r="C17" s="2" t="s">
        <v>0</v>
      </c>
      <c r="D17" s="3">
        <f>B17*6.894757</f>
        <v>251.91593472050275</v>
      </c>
      <c r="E17" s="7" t="s">
        <v>9</v>
      </c>
      <c r="F17" s="145" t="s">
        <v>62</v>
      </c>
      <c r="G17" s="146"/>
      <c r="H17" s="146"/>
      <c r="I17" s="146"/>
      <c r="J17" s="146"/>
      <c r="K17" s="147"/>
    </row>
    <row r="18" spans="1:11" ht="12.75">
      <c r="A18" s="1" t="s">
        <v>63</v>
      </c>
      <c r="B18" s="8">
        <f>(4*B16)/(3.1416*(B24^2))</f>
        <v>0.22943597779465866</v>
      </c>
      <c r="C18" s="2" t="s">
        <v>0</v>
      </c>
      <c r="D18" s="3">
        <f>B18*6.894757</f>
        <v>1.5819053139515673</v>
      </c>
      <c r="E18" s="7" t="s">
        <v>9</v>
      </c>
      <c r="F18" s="145" t="s">
        <v>64</v>
      </c>
      <c r="G18" s="146"/>
      <c r="H18" s="146"/>
      <c r="I18" s="146"/>
      <c r="J18" s="146"/>
      <c r="K18" s="147"/>
    </row>
    <row r="19" spans="1:11" ht="12.75">
      <c r="A19" s="1" t="s">
        <v>65</v>
      </c>
      <c r="B19" s="8">
        <f>((16*B15)/(3.14*(B24^3)))+((4*B16)/(3.14*(B24^2)))</f>
        <v>36.766871711484</v>
      </c>
      <c r="C19" s="2" t="s">
        <v>0</v>
      </c>
      <c r="D19" s="3">
        <f>B19*6.894757</f>
        <v>253.4986461008563</v>
      </c>
      <c r="E19" s="7" t="s">
        <v>9</v>
      </c>
      <c r="F19" s="145" t="s">
        <v>66</v>
      </c>
      <c r="G19" s="146"/>
      <c r="H19" s="146"/>
      <c r="I19" s="146"/>
      <c r="J19" s="146"/>
      <c r="K19" s="147"/>
    </row>
    <row r="20" spans="1:11" ht="12.75">
      <c r="A20" s="1" t="s">
        <v>67</v>
      </c>
      <c r="B20" s="8">
        <f>B19+B14</f>
        <v>79.42687171148401</v>
      </c>
      <c r="C20" s="2" t="s">
        <v>0</v>
      </c>
      <c r="D20" s="3">
        <f>B20*6.894757</f>
        <v>547.6289797208564</v>
      </c>
      <c r="E20" s="7" t="s">
        <v>9</v>
      </c>
      <c r="F20" s="145" t="s">
        <v>68</v>
      </c>
      <c r="G20" s="146"/>
      <c r="H20" s="146"/>
      <c r="I20" s="146"/>
      <c r="J20" s="146"/>
      <c r="K20" s="147"/>
    </row>
    <row r="21" spans="1:11" ht="12.75">
      <c r="A21" s="1" t="s">
        <v>69</v>
      </c>
      <c r="B21" s="8">
        <f>((B11-B12)/2)</f>
        <v>1</v>
      </c>
      <c r="C21" s="2" t="s">
        <v>47</v>
      </c>
      <c r="D21" s="3">
        <f>B21*25.4</f>
        <v>25.4</v>
      </c>
      <c r="E21" s="7" t="s">
        <v>2</v>
      </c>
      <c r="F21" s="142" t="s">
        <v>70</v>
      </c>
      <c r="G21" s="143"/>
      <c r="H21" s="143"/>
      <c r="I21" s="143"/>
      <c r="J21" s="143"/>
      <c r="K21" s="144"/>
    </row>
    <row r="22" spans="1:11" ht="12.75">
      <c r="A22" s="1" t="s">
        <v>71</v>
      </c>
      <c r="B22" s="8">
        <f>+B21/2</f>
        <v>0.5</v>
      </c>
      <c r="C22" s="2" t="s">
        <v>47</v>
      </c>
      <c r="D22" s="3">
        <f>B22*25.4</f>
        <v>12.7</v>
      </c>
      <c r="E22" s="7" t="s">
        <v>2</v>
      </c>
      <c r="F22" s="148" t="s">
        <v>72</v>
      </c>
      <c r="G22" s="149"/>
      <c r="H22" s="149"/>
      <c r="I22" s="149"/>
      <c r="J22" s="149"/>
      <c r="K22" s="150"/>
    </row>
    <row r="23" spans="1:11" ht="21" customHeight="1">
      <c r="A23" s="10" t="s">
        <v>73</v>
      </c>
      <c r="B23" s="8">
        <f>IF(B22&lt;=0.25,B22,0.5*SQRT(B22))</f>
        <v>0.3535533905932738</v>
      </c>
      <c r="C23" s="2" t="s">
        <v>47</v>
      </c>
      <c r="D23" s="3">
        <f>B23*25.4</f>
        <v>8.980256121069154</v>
      </c>
      <c r="E23" s="7" t="s">
        <v>2</v>
      </c>
      <c r="F23" s="151" t="s">
        <v>360</v>
      </c>
      <c r="G23" s="152"/>
      <c r="H23" s="152"/>
      <c r="I23" s="152"/>
      <c r="J23" s="152"/>
      <c r="K23" s="153"/>
    </row>
    <row r="24" spans="1:11" ht="17.25" customHeight="1">
      <c r="A24" s="1" t="s">
        <v>74</v>
      </c>
      <c r="B24" s="8">
        <f>IF(B22&lt;=0.25,((B11+B12)/2),(B11-(2*B23)))</f>
        <v>38.922893218813456</v>
      </c>
      <c r="C24" s="2" t="s">
        <v>47</v>
      </c>
      <c r="D24" s="3">
        <f>B24*25.4</f>
        <v>988.6414877578617</v>
      </c>
      <c r="E24" s="7" t="s">
        <v>2</v>
      </c>
      <c r="F24" s="145" t="s">
        <v>75</v>
      </c>
      <c r="G24" s="146"/>
      <c r="H24" s="146"/>
      <c r="I24" s="146"/>
      <c r="J24" s="146"/>
      <c r="K24" s="147"/>
    </row>
    <row r="25" spans="1:11" ht="12.75">
      <c r="A25" s="1" t="s">
        <v>76</v>
      </c>
      <c r="B25" s="3">
        <f>B20*0.785*B24*B24</f>
        <v>94459.87014410333</v>
      </c>
      <c r="C25" s="2" t="s">
        <v>29</v>
      </c>
      <c r="D25" s="3">
        <f>B25*0.4535924</f>
        <v>42846.279202352176</v>
      </c>
      <c r="E25" s="7" t="s">
        <v>1</v>
      </c>
      <c r="F25" s="145" t="s">
        <v>77</v>
      </c>
      <c r="G25" s="146"/>
      <c r="H25" s="146"/>
      <c r="I25" s="146"/>
      <c r="J25" s="146"/>
      <c r="K25" s="147"/>
    </row>
    <row r="26" spans="1:11" ht="12.75">
      <c r="A26" s="1" t="s">
        <v>78</v>
      </c>
      <c r="B26" s="3">
        <f>B13*B14*2*B23*B24*3.14</f>
        <v>11060.171745605754</v>
      </c>
      <c r="C26" s="2" t="s">
        <v>29</v>
      </c>
      <c r="D26" s="3">
        <f>B26*0.4535924</f>
        <v>5016.809846501504</v>
      </c>
      <c r="E26" s="7" t="s">
        <v>1</v>
      </c>
      <c r="F26" s="145" t="s">
        <v>79</v>
      </c>
      <c r="G26" s="146"/>
      <c r="H26" s="146"/>
      <c r="I26" s="146"/>
      <c r="J26" s="146"/>
      <c r="K26" s="147"/>
    </row>
    <row r="27" spans="1:11" ht="12.75">
      <c r="A27" s="11" t="s">
        <v>80</v>
      </c>
      <c r="B27" s="3">
        <f>B25+B26</f>
        <v>105520.04188970909</v>
      </c>
      <c r="C27" s="2" t="s">
        <v>29</v>
      </c>
      <c r="D27" s="3">
        <f>B27*0.4535924</f>
        <v>47863.08904885368</v>
      </c>
      <c r="E27" s="7" t="s">
        <v>1</v>
      </c>
      <c r="F27" s="145" t="s">
        <v>81</v>
      </c>
      <c r="G27" s="146"/>
      <c r="H27" s="146"/>
      <c r="I27" s="146"/>
      <c r="J27" s="146"/>
      <c r="K27" s="147"/>
    </row>
    <row r="28" spans="1:11" ht="12.75">
      <c r="A28" s="154" t="s">
        <v>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6"/>
    </row>
    <row r="29" spans="1:11" ht="22.5" customHeight="1">
      <c r="A29" s="1" t="s">
        <v>82</v>
      </c>
      <c r="B29" s="28">
        <v>10000</v>
      </c>
      <c r="C29" s="2" t="s">
        <v>0</v>
      </c>
      <c r="D29" s="3">
        <f>B29*6.894757</f>
        <v>68947.57</v>
      </c>
      <c r="E29" s="7" t="s">
        <v>9</v>
      </c>
      <c r="F29" s="145" t="s">
        <v>83</v>
      </c>
      <c r="G29" s="146"/>
      <c r="H29" s="146"/>
      <c r="I29" s="146"/>
      <c r="J29" s="146"/>
      <c r="K29" s="147"/>
    </row>
    <row r="30" spans="1:11" ht="12.75">
      <c r="A30" s="1" t="s">
        <v>84</v>
      </c>
      <c r="B30" s="3">
        <f>B23*B24*B29*3.1416</f>
        <v>432325.65642714663</v>
      </c>
      <c r="C30" s="2" t="s">
        <v>29</v>
      </c>
      <c r="D30" s="3">
        <f>B30*0.4535924</f>
        <v>196099.63208036486</v>
      </c>
      <c r="E30" s="7" t="s">
        <v>1</v>
      </c>
      <c r="F30" s="145" t="s">
        <v>85</v>
      </c>
      <c r="G30" s="146"/>
      <c r="H30" s="146"/>
      <c r="I30" s="146"/>
      <c r="J30" s="146"/>
      <c r="K30" s="147"/>
    </row>
    <row r="31" spans="1:11" ht="23.25" customHeight="1">
      <c r="A31" s="154" t="s">
        <v>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6"/>
    </row>
    <row r="32" spans="1:11" ht="12.75">
      <c r="A32" s="1" t="s">
        <v>5</v>
      </c>
      <c r="B32" s="28">
        <v>380</v>
      </c>
      <c r="C32" s="2" t="s">
        <v>6</v>
      </c>
      <c r="D32" s="41">
        <f>B32*1.8+32</f>
        <v>716</v>
      </c>
      <c r="E32" s="2" t="s">
        <v>6</v>
      </c>
      <c r="F32" s="148" t="s">
        <v>7</v>
      </c>
      <c r="G32" s="149"/>
      <c r="H32" s="149"/>
      <c r="I32" s="149"/>
      <c r="J32" s="149"/>
      <c r="K32" s="150"/>
    </row>
    <row r="33" spans="1:11" ht="12.75">
      <c r="A33" s="1" t="s">
        <v>8</v>
      </c>
      <c r="B33" s="28">
        <v>11700</v>
      </c>
      <c r="C33" s="2" t="s">
        <v>0</v>
      </c>
      <c r="D33" s="3">
        <f>B33*6.894757</f>
        <v>80668.6569</v>
      </c>
      <c r="E33" s="7" t="s">
        <v>9</v>
      </c>
      <c r="F33" s="148" t="s">
        <v>10</v>
      </c>
      <c r="G33" s="149"/>
      <c r="H33" s="149"/>
      <c r="I33" s="149"/>
      <c r="J33" s="149"/>
      <c r="K33" s="150"/>
    </row>
    <row r="34" spans="1:11" ht="12.75">
      <c r="A34" s="1" t="s">
        <v>11</v>
      </c>
      <c r="B34" s="28">
        <v>18800</v>
      </c>
      <c r="C34" s="2" t="s">
        <v>0</v>
      </c>
      <c r="D34" s="3">
        <f>B34*6.894757</f>
        <v>129621.43160000001</v>
      </c>
      <c r="E34" s="7" t="s">
        <v>9</v>
      </c>
      <c r="F34" s="148" t="s">
        <v>12</v>
      </c>
      <c r="G34" s="149"/>
      <c r="H34" s="149"/>
      <c r="I34" s="149"/>
      <c r="J34" s="149"/>
      <c r="K34" s="150"/>
    </row>
    <row r="35" spans="1:11" ht="12.75">
      <c r="A35" s="1" t="s">
        <v>363</v>
      </c>
      <c r="B35" s="28">
        <v>2</v>
      </c>
      <c r="C35" s="2" t="s">
        <v>47</v>
      </c>
      <c r="D35" s="3">
        <f>B35*25.4</f>
        <v>50.8</v>
      </c>
      <c r="E35" s="7" t="s">
        <v>2</v>
      </c>
      <c r="F35" s="4" t="s">
        <v>364</v>
      </c>
      <c r="G35" s="5"/>
      <c r="H35" s="5"/>
      <c r="I35" s="5"/>
      <c r="J35" s="5"/>
      <c r="K35" s="6"/>
    </row>
    <row r="36" spans="1:11" ht="12.75">
      <c r="A36" s="1" t="s">
        <v>13</v>
      </c>
      <c r="B36" s="28">
        <v>32</v>
      </c>
      <c r="C36" s="2" t="s">
        <v>14</v>
      </c>
      <c r="D36" s="3">
        <f>B36</f>
        <v>32</v>
      </c>
      <c r="E36" s="7" t="s">
        <v>14</v>
      </c>
      <c r="F36" s="139" t="s">
        <v>15</v>
      </c>
      <c r="G36" s="140"/>
      <c r="H36" s="140"/>
      <c r="I36" s="140"/>
      <c r="J36" s="140"/>
      <c r="K36" s="141"/>
    </row>
    <row r="37" spans="1:11" ht="12.75">
      <c r="A37" s="1" t="s">
        <v>16</v>
      </c>
      <c r="B37" s="28">
        <v>2.652</v>
      </c>
      <c r="C37" s="2" t="s">
        <v>17</v>
      </c>
      <c r="D37" s="3">
        <f>B37*25.4*25.4</f>
        <v>1710.9643199999998</v>
      </c>
      <c r="E37" s="7" t="s">
        <v>18</v>
      </c>
      <c r="F37" s="148" t="s">
        <v>19</v>
      </c>
      <c r="G37" s="149"/>
      <c r="H37" s="149"/>
      <c r="I37" s="149"/>
      <c r="J37" s="149"/>
      <c r="K37" s="150"/>
    </row>
    <row r="38" spans="1:11" ht="12.75">
      <c r="A38" s="1" t="s">
        <v>20</v>
      </c>
      <c r="B38" s="38">
        <f>+B37*B36</f>
        <v>84.864</v>
      </c>
      <c r="C38" s="2" t="s">
        <v>17</v>
      </c>
      <c r="D38" s="3">
        <f>B38*25.4*25.4</f>
        <v>54750.858239999994</v>
      </c>
      <c r="E38" s="7" t="s">
        <v>18</v>
      </c>
      <c r="F38" s="148" t="s">
        <v>21</v>
      </c>
      <c r="G38" s="149"/>
      <c r="H38" s="149"/>
      <c r="I38" s="149"/>
      <c r="J38" s="149"/>
      <c r="K38" s="150"/>
    </row>
    <row r="39" spans="1:11" ht="12.75">
      <c r="A39" s="1" t="s">
        <v>22</v>
      </c>
      <c r="B39" s="8">
        <f>B27/B33</f>
        <v>9.018806999120434</v>
      </c>
      <c r="C39" s="2" t="s">
        <v>17</v>
      </c>
      <c r="D39" s="3">
        <f>B39*25.4*25.4</f>
        <v>5818.573523552539</v>
      </c>
      <c r="E39" s="7" t="s">
        <v>18</v>
      </c>
      <c r="F39" s="148" t="s">
        <v>23</v>
      </c>
      <c r="G39" s="149"/>
      <c r="H39" s="149"/>
      <c r="I39" s="149"/>
      <c r="J39" s="149"/>
      <c r="K39" s="150"/>
    </row>
    <row r="40" spans="1:11" ht="12.75">
      <c r="A40" s="1" t="s">
        <v>24</v>
      </c>
      <c r="B40" s="8">
        <f>B30/B34</f>
        <v>22.996045554635458</v>
      </c>
      <c r="C40" s="2" t="s">
        <v>17</v>
      </c>
      <c r="D40" s="3">
        <f>B40*25.4*25.4</f>
        <v>14836.128750028609</v>
      </c>
      <c r="E40" s="7" t="s">
        <v>18</v>
      </c>
      <c r="F40" s="148" t="s">
        <v>25</v>
      </c>
      <c r="G40" s="149"/>
      <c r="H40" s="149"/>
      <c r="I40" s="149"/>
      <c r="J40" s="149"/>
      <c r="K40" s="150"/>
    </row>
    <row r="41" spans="1:11" ht="12.75">
      <c r="A41" s="1" t="s">
        <v>26</v>
      </c>
      <c r="B41" s="39">
        <f>IF(B39&gt;B40,B39,B40)</f>
        <v>22.996045554635458</v>
      </c>
      <c r="C41" s="2" t="s">
        <v>17</v>
      </c>
      <c r="D41" s="37">
        <f>B41*25.4*25.4</f>
        <v>14836.128750028609</v>
      </c>
      <c r="E41" s="7" t="s">
        <v>18</v>
      </c>
      <c r="F41" s="148" t="s">
        <v>27</v>
      </c>
      <c r="G41" s="149"/>
      <c r="H41" s="149"/>
      <c r="I41" s="149"/>
      <c r="J41" s="149"/>
      <c r="K41" s="150"/>
    </row>
    <row r="42" spans="1:11" ht="12.75">
      <c r="A42" s="157" t="s">
        <v>362</v>
      </c>
      <c r="B42" s="158"/>
      <c r="C42" s="159" t="str">
        <f>IF(B41&lt;=B38,"A área resistente dos parafusos está OK!","Não passou!  A área resistente de parafusos é insuficiente.")</f>
        <v>A área resistente dos parafusos está OK!</v>
      </c>
      <c r="D42" s="160"/>
      <c r="E42" s="160"/>
      <c r="F42" s="160"/>
      <c r="G42" s="160"/>
      <c r="H42" s="160"/>
      <c r="I42" s="160"/>
      <c r="J42" s="160"/>
      <c r="K42" s="161"/>
    </row>
    <row r="43" spans="1:11" ht="12.75">
      <c r="A43" s="1" t="s">
        <v>28</v>
      </c>
      <c r="B43" s="3">
        <f>0.5*(B41+B38)*B34</f>
        <v>1013884.4282135733</v>
      </c>
      <c r="C43" s="2" t="s">
        <v>29</v>
      </c>
      <c r="D43" s="3">
        <f>B43*0.4535924</f>
        <v>459890.2711160224</v>
      </c>
      <c r="E43" s="7" t="s">
        <v>1</v>
      </c>
      <c r="F43" s="148" t="s">
        <v>30</v>
      </c>
      <c r="G43" s="149"/>
      <c r="H43" s="149"/>
      <c r="I43" s="149"/>
      <c r="J43" s="149"/>
      <c r="K43" s="150"/>
    </row>
    <row r="44" spans="1:11" ht="12.75">
      <c r="A44" s="1" t="s">
        <v>31</v>
      </c>
      <c r="B44" s="3">
        <f>B27</f>
        <v>105520.04188970909</v>
      </c>
      <c r="C44" s="2" t="s">
        <v>29</v>
      </c>
      <c r="D44" s="3">
        <f>B44*0.4535924</f>
        <v>47863.08904885368</v>
      </c>
      <c r="E44" s="7" t="s">
        <v>1</v>
      </c>
      <c r="F44" s="148" t="s">
        <v>361</v>
      </c>
      <c r="G44" s="149"/>
      <c r="H44" s="149"/>
      <c r="I44" s="149"/>
      <c r="J44" s="149"/>
      <c r="K44" s="150"/>
    </row>
    <row r="45" spans="1:11" ht="12.75">
      <c r="A45" s="1" t="s">
        <v>32</v>
      </c>
      <c r="B45" s="3">
        <f>IF(B43&gt;B44,B43,B44)</f>
        <v>1013884.4282135733</v>
      </c>
      <c r="C45" s="2" t="s">
        <v>29</v>
      </c>
      <c r="D45" s="3">
        <f>B45*0.4535924</f>
        <v>459890.2711160224</v>
      </c>
      <c r="E45" s="7" t="s">
        <v>1</v>
      </c>
      <c r="F45" s="148" t="s">
        <v>33</v>
      </c>
      <c r="G45" s="149"/>
      <c r="H45" s="149"/>
      <c r="I45" s="149"/>
      <c r="J45" s="149"/>
      <c r="K45" s="150"/>
    </row>
    <row r="46" spans="1:11" ht="12.75">
      <c r="A46" s="154" t="s">
        <v>86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6"/>
    </row>
    <row r="47" spans="1:11" ht="12.75">
      <c r="A47" s="162" t="s">
        <v>87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4"/>
    </row>
    <row r="48" spans="1:11" ht="12.75">
      <c r="A48" s="165" t="s">
        <v>88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7"/>
    </row>
    <row r="49" spans="1:11" ht="12.75">
      <c r="A49" s="165" t="s">
        <v>89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7"/>
    </row>
    <row r="50" spans="1:11" ht="12.75">
      <c r="A50" s="168" t="s">
        <v>90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70"/>
    </row>
    <row r="51" spans="1:11" ht="12.75">
      <c r="A51" s="12" t="s">
        <v>91</v>
      </c>
      <c r="B51" s="25" t="s">
        <v>92</v>
      </c>
      <c r="C51" s="171" t="s">
        <v>93</v>
      </c>
      <c r="D51" s="172"/>
      <c r="E51" s="172"/>
      <c r="F51" s="172"/>
      <c r="G51" s="172"/>
      <c r="H51" s="172"/>
      <c r="I51" s="172"/>
      <c r="J51" s="172"/>
      <c r="K51" s="173"/>
    </row>
    <row r="52" spans="1:11" ht="18" customHeight="1">
      <c r="A52" s="10" t="s">
        <v>94</v>
      </c>
      <c r="B52" s="28">
        <v>3.5</v>
      </c>
      <c r="C52" s="2" t="s">
        <v>47</v>
      </c>
      <c r="D52" s="3">
        <f aca="true" t="shared" si="0" ref="D52:D59">B52*25.4</f>
        <v>88.89999999999999</v>
      </c>
      <c r="E52" s="7" t="s">
        <v>2</v>
      </c>
      <c r="F52" s="174" t="s">
        <v>95</v>
      </c>
      <c r="G52" s="175"/>
      <c r="H52" s="175"/>
      <c r="I52" s="175"/>
      <c r="J52" s="175"/>
      <c r="K52" s="176"/>
    </row>
    <row r="53" spans="1:11" ht="12.75">
      <c r="A53" s="10" t="s">
        <v>96</v>
      </c>
      <c r="B53" s="28">
        <v>1.7835</v>
      </c>
      <c r="C53" s="2" t="s">
        <v>47</v>
      </c>
      <c r="D53" s="3">
        <f t="shared" si="0"/>
        <v>45.3009</v>
      </c>
      <c r="E53" s="7" t="s">
        <v>2</v>
      </c>
      <c r="F53" s="174" t="s">
        <v>97</v>
      </c>
      <c r="G53" s="175"/>
      <c r="H53" s="175"/>
      <c r="I53" s="175"/>
      <c r="J53" s="175"/>
      <c r="K53" s="176"/>
    </row>
    <row r="54" spans="1:11" ht="12.75">
      <c r="A54" s="10" t="s">
        <v>98</v>
      </c>
      <c r="B54" s="28">
        <f>3/4</f>
        <v>0.75</v>
      </c>
      <c r="C54" s="13" t="s">
        <v>47</v>
      </c>
      <c r="D54" s="3">
        <f t="shared" si="0"/>
        <v>19.049999999999997</v>
      </c>
      <c r="E54" s="7" t="s">
        <v>2</v>
      </c>
      <c r="F54" s="177" t="s">
        <v>99</v>
      </c>
      <c r="G54" s="178"/>
      <c r="H54" s="178"/>
      <c r="I54" s="178"/>
      <c r="J54" s="178"/>
      <c r="K54" s="179"/>
    </row>
    <row r="55" spans="1:11" ht="12.75">
      <c r="A55" s="10" t="s">
        <v>100</v>
      </c>
      <c r="B55" s="28">
        <v>46</v>
      </c>
      <c r="C55" s="2" t="s">
        <v>47</v>
      </c>
      <c r="D55" s="3">
        <f t="shared" si="0"/>
        <v>1168.3999999999999</v>
      </c>
      <c r="E55" s="7" t="s">
        <v>2</v>
      </c>
      <c r="F55" s="174" t="s">
        <v>101</v>
      </c>
      <c r="G55" s="175"/>
      <c r="H55" s="175"/>
      <c r="I55" s="175"/>
      <c r="J55" s="175"/>
      <c r="K55" s="176"/>
    </row>
    <row r="56" spans="1:11" ht="12.75">
      <c r="A56" s="10" t="s">
        <v>102</v>
      </c>
      <c r="B56" s="28">
        <f>900/25.4</f>
        <v>35.43307086614173</v>
      </c>
      <c r="C56" s="2" t="s">
        <v>47</v>
      </c>
      <c r="D56" s="3">
        <f t="shared" si="0"/>
        <v>900</v>
      </c>
      <c r="E56" s="7" t="s">
        <v>2</v>
      </c>
      <c r="F56" s="174" t="s">
        <v>103</v>
      </c>
      <c r="G56" s="175"/>
      <c r="H56" s="175"/>
      <c r="I56" s="175"/>
      <c r="J56" s="175"/>
      <c r="K56" s="176"/>
    </row>
    <row r="57" spans="1:11" ht="12.75">
      <c r="A57" s="10" t="s">
        <v>104</v>
      </c>
      <c r="B57" s="28">
        <v>50</v>
      </c>
      <c r="C57" s="2" t="s">
        <v>47</v>
      </c>
      <c r="D57" s="3">
        <f t="shared" si="0"/>
        <v>1270</v>
      </c>
      <c r="E57" s="7" t="s">
        <v>2</v>
      </c>
      <c r="F57" s="174" t="s">
        <v>105</v>
      </c>
      <c r="G57" s="175"/>
      <c r="H57" s="175"/>
      <c r="I57" s="175"/>
      <c r="J57" s="175"/>
      <c r="K57" s="176"/>
    </row>
    <row r="58" spans="1:11" ht="12.75">
      <c r="A58" s="10" t="s">
        <v>106</v>
      </c>
      <c r="B58" s="28">
        <v>5.38</v>
      </c>
      <c r="C58" s="2" t="s">
        <v>47</v>
      </c>
      <c r="D58" s="3">
        <f t="shared" si="0"/>
        <v>136.652</v>
      </c>
      <c r="E58" s="7" t="s">
        <v>2</v>
      </c>
      <c r="F58" s="174" t="s">
        <v>107</v>
      </c>
      <c r="G58" s="175"/>
      <c r="H58" s="175"/>
      <c r="I58" s="175"/>
      <c r="J58" s="175"/>
      <c r="K58" s="176"/>
    </row>
    <row r="59" spans="1:11" ht="12.75">
      <c r="A59" s="10" t="s">
        <v>108</v>
      </c>
      <c r="B59" s="14">
        <f>(B56*B54)^0.5</f>
        <v>5.15507547467603</v>
      </c>
      <c r="C59" s="2" t="s">
        <v>47</v>
      </c>
      <c r="D59" s="3">
        <f t="shared" si="0"/>
        <v>130.93891705677115</v>
      </c>
      <c r="E59" s="7" t="s">
        <v>2</v>
      </c>
      <c r="F59" s="174" t="s">
        <v>109</v>
      </c>
      <c r="G59" s="175"/>
      <c r="H59" s="175"/>
      <c r="I59" s="175"/>
      <c r="J59" s="175"/>
      <c r="K59" s="176"/>
    </row>
    <row r="60" spans="1:11" ht="12.75">
      <c r="A60" s="10" t="s">
        <v>110</v>
      </c>
      <c r="B60" s="14">
        <f>IF(B51="a",(B208/B59),(B209/B59))</f>
        <v>0.13738925979897132</v>
      </c>
      <c r="C60" s="2" t="s">
        <v>111</v>
      </c>
      <c r="D60" s="3">
        <f>B60/25.4</f>
        <v>0.005409025976337454</v>
      </c>
      <c r="E60" s="7" t="s">
        <v>112</v>
      </c>
      <c r="F60" s="174" t="s">
        <v>113</v>
      </c>
      <c r="G60" s="175"/>
      <c r="H60" s="175"/>
      <c r="I60" s="175"/>
      <c r="J60" s="175"/>
      <c r="K60" s="176"/>
    </row>
    <row r="61" spans="1:11" ht="12.75">
      <c r="A61" s="10" t="s">
        <v>114</v>
      </c>
      <c r="B61" s="28">
        <f>(4.12-1/4)</f>
        <v>3.87</v>
      </c>
      <c r="C61" s="2" t="s">
        <v>47</v>
      </c>
      <c r="D61" s="3">
        <f>B61*25.4</f>
        <v>98.298</v>
      </c>
      <c r="E61" s="7" t="s">
        <v>2</v>
      </c>
      <c r="F61" s="174" t="s">
        <v>115</v>
      </c>
      <c r="G61" s="175"/>
      <c r="H61" s="175"/>
      <c r="I61" s="175"/>
      <c r="J61" s="175"/>
      <c r="K61" s="176"/>
    </row>
    <row r="62" spans="1:11" ht="12.75">
      <c r="A62" s="10"/>
      <c r="B62" s="25" t="s">
        <v>116</v>
      </c>
      <c r="C62" s="2" t="s">
        <v>117</v>
      </c>
      <c r="D62" s="3" t="s">
        <v>117</v>
      </c>
      <c r="E62" s="7" t="s">
        <v>117</v>
      </c>
      <c r="F62" s="174" t="s">
        <v>118</v>
      </c>
      <c r="G62" s="175"/>
      <c r="H62" s="175"/>
      <c r="I62" s="175"/>
      <c r="J62" s="175"/>
      <c r="K62" s="176"/>
    </row>
    <row r="63" spans="1:11" ht="12.75">
      <c r="A63" s="10" t="s">
        <v>119</v>
      </c>
      <c r="B63" s="28">
        <v>28000000</v>
      </c>
      <c r="C63" s="2" t="s">
        <v>0</v>
      </c>
      <c r="D63" s="3">
        <f>B63*6.894757</f>
        <v>193053196</v>
      </c>
      <c r="E63" s="7" t="s">
        <v>120</v>
      </c>
      <c r="F63" s="174" t="s">
        <v>121</v>
      </c>
      <c r="G63" s="175"/>
      <c r="H63" s="175"/>
      <c r="I63" s="175"/>
      <c r="J63" s="175"/>
      <c r="K63" s="176"/>
    </row>
    <row r="64" spans="1:11" ht="12.75">
      <c r="A64" s="10" t="s">
        <v>122</v>
      </c>
      <c r="B64" s="28">
        <v>2300</v>
      </c>
      <c r="C64" s="2" t="s">
        <v>0</v>
      </c>
      <c r="D64" s="3">
        <f>B64*6.894757</f>
        <v>15857.9411</v>
      </c>
      <c r="E64" s="7" t="s">
        <v>9</v>
      </c>
      <c r="F64" s="174" t="s">
        <v>123</v>
      </c>
      <c r="G64" s="175"/>
      <c r="H64" s="175"/>
      <c r="I64" s="175"/>
      <c r="J64" s="175"/>
      <c r="K64" s="176"/>
    </row>
    <row r="65" spans="1:11" ht="12.75">
      <c r="A65" s="10" t="s">
        <v>124</v>
      </c>
      <c r="B65" s="28">
        <v>20000</v>
      </c>
      <c r="C65" s="2" t="s">
        <v>0</v>
      </c>
      <c r="D65" s="3">
        <f>B65*6.894757</f>
        <v>137895.14</v>
      </c>
      <c r="E65" s="7" t="s">
        <v>9</v>
      </c>
      <c r="F65" s="174" t="s">
        <v>125</v>
      </c>
      <c r="G65" s="175"/>
      <c r="H65" s="175"/>
      <c r="I65" s="175"/>
      <c r="J65" s="175"/>
      <c r="K65" s="176"/>
    </row>
    <row r="66" spans="1:11" ht="12.75">
      <c r="A66" s="10"/>
      <c r="B66" s="25" t="s">
        <v>126</v>
      </c>
      <c r="C66" s="2" t="s">
        <v>117</v>
      </c>
      <c r="D66" s="3" t="s">
        <v>117</v>
      </c>
      <c r="E66" s="7" t="s">
        <v>117</v>
      </c>
      <c r="F66" s="174" t="s">
        <v>127</v>
      </c>
      <c r="G66" s="175"/>
      <c r="H66" s="175"/>
      <c r="I66" s="175"/>
      <c r="J66" s="175"/>
      <c r="K66" s="176"/>
    </row>
    <row r="67" spans="1:11" ht="12.75">
      <c r="A67" s="10" t="s">
        <v>128</v>
      </c>
      <c r="B67" s="28">
        <v>2300</v>
      </c>
      <c r="C67" s="2" t="s">
        <v>0</v>
      </c>
      <c r="D67" s="3">
        <f>B67*6.894757</f>
        <v>15857.9411</v>
      </c>
      <c r="E67" s="7" t="s">
        <v>9</v>
      </c>
      <c r="F67" s="174" t="s">
        <v>129</v>
      </c>
      <c r="G67" s="175"/>
      <c r="H67" s="175"/>
      <c r="I67" s="175"/>
      <c r="J67" s="175"/>
      <c r="K67" s="176"/>
    </row>
    <row r="68" spans="1:11" ht="12.75">
      <c r="A68" s="10" t="s">
        <v>130</v>
      </c>
      <c r="B68" s="28">
        <v>20000</v>
      </c>
      <c r="C68" s="2" t="s">
        <v>0</v>
      </c>
      <c r="D68" s="3">
        <f>B68*6.894757</f>
        <v>137895.14</v>
      </c>
      <c r="E68" s="7" t="s">
        <v>9</v>
      </c>
      <c r="F68" s="174" t="s">
        <v>131</v>
      </c>
      <c r="G68" s="175"/>
      <c r="H68" s="175"/>
      <c r="I68" s="175"/>
      <c r="J68" s="175"/>
      <c r="K68" s="176"/>
    </row>
    <row r="69" spans="1:11" ht="12.75">
      <c r="A69" s="10" t="s">
        <v>132</v>
      </c>
      <c r="B69" s="14">
        <f>IF(B51="a",(B52+(0.5*B53)),IF(B51="b",((B55-B56)/2),IF(B51="c",((B55-B56)/2))))</f>
        <v>4.39175</v>
      </c>
      <c r="C69" s="2" t="s">
        <v>47</v>
      </c>
      <c r="D69" s="3">
        <f>B69*25.4</f>
        <v>111.55045</v>
      </c>
      <c r="E69" s="7" t="s">
        <v>2</v>
      </c>
      <c r="F69" s="174" t="s">
        <v>133</v>
      </c>
      <c r="G69" s="175"/>
      <c r="H69" s="175"/>
      <c r="I69" s="175"/>
      <c r="J69" s="175"/>
      <c r="K69" s="176"/>
    </row>
    <row r="70" spans="1:11" ht="12.75">
      <c r="A70" s="10" t="s">
        <v>134</v>
      </c>
      <c r="B70" s="14">
        <f>IF(B51="a",((B52+B53+B71)/2),IF(B51="b",((B69+B71)/2),IF(B51="c",((B55-B24)/2))))</f>
        <v>4.411026695296636</v>
      </c>
      <c r="C70" s="2" t="s">
        <v>47</v>
      </c>
      <c r="D70" s="3">
        <f>B70*25.4</f>
        <v>112.04007806053454</v>
      </c>
      <c r="E70" s="7" t="s">
        <v>2</v>
      </c>
      <c r="F70" s="174" t="s">
        <v>135</v>
      </c>
      <c r="G70" s="175"/>
      <c r="H70" s="175"/>
      <c r="I70" s="175"/>
      <c r="J70" s="175"/>
      <c r="K70" s="176"/>
    </row>
    <row r="71" spans="1:11" ht="12.75">
      <c r="A71" s="10" t="s">
        <v>136</v>
      </c>
      <c r="B71" s="14">
        <f>(B55-B24)/2</f>
        <v>3.538553390593272</v>
      </c>
      <c r="C71" s="2" t="s">
        <v>47</v>
      </c>
      <c r="D71" s="3">
        <f>B71*25.4</f>
        <v>89.8792561210691</v>
      </c>
      <c r="E71" s="7" t="s">
        <v>2</v>
      </c>
      <c r="F71" s="174" t="s">
        <v>137</v>
      </c>
      <c r="G71" s="175"/>
      <c r="H71" s="175"/>
      <c r="I71" s="175"/>
      <c r="J71" s="175"/>
      <c r="K71" s="176"/>
    </row>
    <row r="72" spans="1:11" ht="12.75">
      <c r="A72" s="180" t="s">
        <v>138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2"/>
    </row>
    <row r="73" spans="1:11" ht="12.75">
      <c r="A73" s="10" t="s">
        <v>139</v>
      </c>
      <c r="B73" s="15">
        <f>3.1416*(B56^2)/4*B20</f>
        <v>78320.58820165794</v>
      </c>
      <c r="C73" s="2" t="s">
        <v>29</v>
      </c>
      <c r="D73" s="3">
        <f>B73*0.4535924</f>
        <v>35525.62357180171</v>
      </c>
      <c r="E73" s="7" t="s">
        <v>1</v>
      </c>
      <c r="F73" s="174" t="s">
        <v>140</v>
      </c>
      <c r="G73" s="175"/>
      <c r="H73" s="175"/>
      <c r="I73" s="175"/>
      <c r="J73" s="175"/>
      <c r="K73" s="176"/>
    </row>
    <row r="74" spans="1:11" ht="12.75">
      <c r="A74" s="10" t="s">
        <v>141</v>
      </c>
      <c r="B74" s="15">
        <f>B25-B73</f>
        <v>16139.281942445392</v>
      </c>
      <c r="C74" s="2" t="s">
        <v>29</v>
      </c>
      <c r="D74" s="3">
        <f>B74*0.4535924</f>
        <v>7320.655630550467</v>
      </c>
      <c r="E74" s="7" t="s">
        <v>1</v>
      </c>
      <c r="F74" s="174" t="s">
        <v>142</v>
      </c>
      <c r="G74" s="175"/>
      <c r="H74" s="175"/>
      <c r="I74" s="175"/>
      <c r="J74" s="175"/>
      <c r="K74" s="176"/>
    </row>
    <row r="75" spans="1:11" ht="21" customHeight="1">
      <c r="A75" s="10" t="s">
        <v>143</v>
      </c>
      <c r="B75" s="15">
        <f>B44-B25</f>
        <v>11060.171745605752</v>
      </c>
      <c r="C75" s="2" t="s">
        <v>29</v>
      </c>
      <c r="D75" s="3">
        <f>B75*0.4535924</f>
        <v>5016.809846501503</v>
      </c>
      <c r="E75" s="7" t="s">
        <v>1</v>
      </c>
      <c r="F75" s="174" t="s">
        <v>144</v>
      </c>
      <c r="G75" s="175"/>
      <c r="H75" s="175"/>
      <c r="I75" s="175"/>
      <c r="J75" s="175"/>
      <c r="K75" s="176"/>
    </row>
    <row r="76" spans="1:11" ht="12.75">
      <c r="A76" s="10" t="s">
        <v>145</v>
      </c>
      <c r="B76" s="15">
        <f>B73*B69</f>
        <v>343964.44323463127</v>
      </c>
      <c r="C76" s="2" t="s">
        <v>56</v>
      </c>
      <c r="D76" s="3">
        <f>B76*0.1152124</f>
        <v>39628.969019725635</v>
      </c>
      <c r="E76" s="7" t="s">
        <v>57</v>
      </c>
      <c r="F76" s="174" t="s">
        <v>146</v>
      </c>
      <c r="G76" s="175"/>
      <c r="H76" s="175"/>
      <c r="I76" s="175"/>
      <c r="J76" s="175"/>
      <c r="K76" s="176"/>
    </row>
    <row r="77" spans="1:11" ht="12.75">
      <c r="A77" s="10" t="s">
        <v>147</v>
      </c>
      <c r="B77" s="15">
        <f>B74*B70</f>
        <v>71190.80349104558</v>
      </c>
      <c r="C77" s="2" t="s">
        <v>56</v>
      </c>
      <c r="D77" s="3">
        <f>B77*0.1152124</f>
        <v>8202.06332813174</v>
      </c>
      <c r="E77" s="7" t="s">
        <v>57</v>
      </c>
      <c r="F77" s="174" t="s">
        <v>148</v>
      </c>
      <c r="G77" s="175"/>
      <c r="H77" s="175"/>
      <c r="I77" s="175"/>
      <c r="J77" s="175"/>
      <c r="K77" s="176"/>
    </row>
    <row r="78" spans="1:11" ht="12.75">
      <c r="A78" s="10" t="s">
        <v>149</v>
      </c>
      <c r="B78" s="15">
        <f>B75*B71</f>
        <v>39137.00823095714</v>
      </c>
      <c r="C78" s="2" t="s">
        <v>56</v>
      </c>
      <c r="D78" s="3">
        <f>B78*0.1152124</f>
        <v>4509.068647108326</v>
      </c>
      <c r="E78" s="7" t="s">
        <v>57</v>
      </c>
      <c r="F78" s="174" t="s">
        <v>150</v>
      </c>
      <c r="G78" s="175"/>
      <c r="H78" s="175"/>
      <c r="I78" s="175"/>
      <c r="J78" s="175"/>
      <c r="K78" s="176"/>
    </row>
    <row r="79" spans="1:11" ht="12.75">
      <c r="A79" s="10" t="s">
        <v>151</v>
      </c>
      <c r="B79" s="15">
        <f>SUM(B76:B78)</f>
        <v>454292.25495663396</v>
      </c>
      <c r="C79" s="2" t="s">
        <v>56</v>
      </c>
      <c r="D79" s="3">
        <f>B79*0.1152124</f>
        <v>52340.100994965695</v>
      </c>
      <c r="E79" s="7" t="s">
        <v>57</v>
      </c>
      <c r="F79" s="174" t="s">
        <v>152</v>
      </c>
      <c r="G79" s="175"/>
      <c r="H79" s="175"/>
      <c r="I79" s="175"/>
      <c r="J79" s="175"/>
      <c r="K79" s="176"/>
    </row>
    <row r="80" spans="1:11" ht="12.75">
      <c r="A80" s="10" t="s">
        <v>153</v>
      </c>
      <c r="B80" s="32">
        <f>IF(B51="a",(B211*B79)/(B221*(B53^2)*B56),0)</f>
        <v>3284.8123938245676</v>
      </c>
      <c r="C80" s="13" t="s">
        <v>0</v>
      </c>
      <c r="D80" s="3">
        <f>B80*6.894757</f>
        <v>22647.983246008695</v>
      </c>
      <c r="E80" s="7" t="s">
        <v>9</v>
      </c>
      <c r="F80" s="174" t="s">
        <v>154</v>
      </c>
      <c r="G80" s="175"/>
      <c r="H80" s="175"/>
      <c r="I80" s="175"/>
      <c r="J80" s="175"/>
      <c r="K80" s="176"/>
    </row>
    <row r="81" spans="1:11" ht="12.75">
      <c r="A81" s="10" t="s">
        <v>155</v>
      </c>
      <c r="B81" s="32">
        <f>IF(B51="a",(((1.33*B61*B60)+1)*B79)/(B221*(B61^2)*B56),0)</f>
        <v>1190.9900758585131</v>
      </c>
      <c r="C81" s="13" t="s">
        <v>0</v>
      </c>
      <c r="D81" s="3">
        <f>B81*6.894757</f>
        <v>8211.587162456015</v>
      </c>
      <c r="E81" s="7" t="s">
        <v>9</v>
      </c>
      <c r="F81" s="174" t="s">
        <v>156</v>
      </c>
      <c r="G81" s="175"/>
      <c r="H81" s="175"/>
      <c r="I81" s="175"/>
      <c r="J81" s="175"/>
      <c r="K81" s="176"/>
    </row>
    <row r="82" spans="1:11" ht="21" customHeight="1">
      <c r="A82" s="10" t="s">
        <v>157</v>
      </c>
      <c r="B82" s="33">
        <f>IF(B51="a",((B215*B79)/((B61^2)*B56))-(B216*B81),(B215*B79)/((B61^2)*B56))</f>
        <v>1374.4909609017295</v>
      </c>
      <c r="C82" s="13" t="s">
        <v>0</v>
      </c>
      <c r="D82" s="3">
        <f>B82*6.894757</f>
        <v>9476.781174113927</v>
      </c>
      <c r="E82" s="7" t="s">
        <v>9</v>
      </c>
      <c r="F82" s="174" t="s">
        <v>158</v>
      </c>
      <c r="G82" s="175"/>
      <c r="H82" s="175"/>
      <c r="I82" s="175"/>
      <c r="J82" s="175"/>
      <c r="K82" s="176"/>
    </row>
    <row r="83" spans="1:11" ht="12.75">
      <c r="A83" s="183" t="s">
        <v>159</v>
      </c>
      <c r="B83" s="184"/>
      <c r="C83" s="185">
        <f>(B80+B81)/2</f>
        <v>2237.9012348415404</v>
      </c>
      <c r="D83" s="185"/>
      <c r="E83" s="17" t="s">
        <v>0</v>
      </c>
      <c r="F83" s="16">
        <f>C83*6.894757</f>
        <v>15429.785204232356</v>
      </c>
      <c r="G83" s="17" t="s">
        <v>9</v>
      </c>
      <c r="H83" s="177" t="s">
        <v>160</v>
      </c>
      <c r="I83" s="178"/>
      <c r="J83" s="178"/>
      <c r="K83" s="179"/>
    </row>
    <row r="84" spans="1:11" ht="12.75">
      <c r="A84" s="183" t="s">
        <v>161</v>
      </c>
      <c r="B84" s="184"/>
      <c r="C84" s="185">
        <f>(B80+B82)/2</f>
        <v>2329.6516773631483</v>
      </c>
      <c r="D84" s="185"/>
      <c r="E84" s="17" t="s">
        <v>0</v>
      </c>
      <c r="F84" s="16">
        <f>C84*6.894757</f>
        <v>16062.382210061309</v>
      </c>
      <c r="G84" s="17" t="s">
        <v>9</v>
      </c>
      <c r="H84" s="177" t="s">
        <v>160</v>
      </c>
      <c r="I84" s="178"/>
      <c r="J84" s="178"/>
      <c r="K84" s="179"/>
    </row>
    <row r="85" spans="1:11" ht="12.75">
      <c r="A85" s="180" t="s">
        <v>162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7"/>
    </row>
    <row r="86" spans="1:11" ht="12.75">
      <c r="A86" s="188" t="s">
        <v>163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2"/>
    </row>
    <row r="87" spans="1:11" ht="12.75">
      <c r="A87" s="188" t="s">
        <v>164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2"/>
    </row>
    <row r="88" spans="1:11" ht="12.75">
      <c r="A88" s="188" t="s">
        <v>165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2"/>
    </row>
    <row r="89" spans="1:11" ht="12.75">
      <c r="A89" s="188" t="s">
        <v>166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2"/>
    </row>
    <row r="90" spans="1:11" ht="12.75">
      <c r="A90" s="188" t="s">
        <v>167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2"/>
    </row>
    <row r="91" spans="1:11" ht="12.75">
      <c r="A91" s="183" t="s">
        <v>168</v>
      </c>
      <c r="B91" s="184"/>
      <c r="C91" s="29">
        <v>1</v>
      </c>
      <c r="D91" s="189" t="s">
        <v>169</v>
      </c>
      <c r="E91" s="189"/>
      <c r="F91" s="189"/>
      <c r="G91" s="189"/>
      <c r="H91" s="189"/>
      <c r="I91" s="189"/>
      <c r="J91" s="189"/>
      <c r="K91" s="190"/>
    </row>
    <row r="92" spans="1:11" ht="31.5" customHeight="1">
      <c r="A92" s="183" t="s">
        <v>170</v>
      </c>
      <c r="B92" s="184"/>
      <c r="C92" s="191">
        <f>IF(C91=1,MIN(1.5*B64,2.5*B67),IF(C91=2,MIN(1.5*B64,1.5*B67),IF(C91=3,MIN(1.5*B64,1.5*B67),IF(C91=4,"Não há tensão longitudinal"," "))))</f>
        <v>3450</v>
      </c>
      <c r="D92" s="191"/>
      <c r="E92" s="17" t="s">
        <v>0</v>
      </c>
      <c r="F92" s="18">
        <f>C92*6.894757</f>
        <v>23786.911650000002</v>
      </c>
      <c r="G92" s="17" t="s">
        <v>120</v>
      </c>
      <c r="H92" s="177" t="s">
        <v>171</v>
      </c>
      <c r="I92" s="178"/>
      <c r="J92" s="178"/>
      <c r="K92" s="179"/>
    </row>
    <row r="93" spans="1:11" ht="15.75" customHeight="1">
      <c r="A93" s="183" t="s">
        <v>172</v>
      </c>
      <c r="B93" s="184"/>
      <c r="C93" s="192">
        <f>IF(C91=4,"Não há tensão radial",B64)</f>
        <v>2300</v>
      </c>
      <c r="D93" s="193"/>
      <c r="E93" s="17" t="s">
        <v>0</v>
      </c>
      <c r="F93" s="18">
        <f>C93*6.894757</f>
        <v>15857.9411</v>
      </c>
      <c r="G93" s="7" t="s">
        <v>120</v>
      </c>
      <c r="H93" s="177" t="s">
        <v>122</v>
      </c>
      <c r="I93" s="178"/>
      <c r="J93" s="178"/>
      <c r="K93" s="179"/>
    </row>
    <row r="94" spans="1:11" ht="17.25" customHeight="1">
      <c r="A94" s="183" t="s">
        <v>173</v>
      </c>
      <c r="B94" s="184"/>
      <c r="C94" s="194">
        <f>B64</f>
        <v>2300</v>
      </c>
      <c r="D94" s="194"/>
      <c r="E94" s="17" t="s">
        <v>0</v>
      </c>
      <c r="F94" s="18">
        <f>C94*6.894757</f>
        <v>15857.9411</v>
      </c>
      <c r="G94" s="7" t="s">
        <v>120</v>
      </c>
      <c r="H94" s="177" t="s">
        <v>122</v>
      </c>
      <c r="I94" s="178"/>
      <c r="J94" s="178"/>
      <c r="K94" s="179"/>
    </row>
    <row r="95" spans="1:11" ht="12.75">
      <c r="A95" s="195" t="s">
        <v>174</v>
      </c>
      <c r="B95" s="196"/>
      <c r="C95" s="201" t="str">
        <f>IF(B80&lt;=C92,"A tensão longitudinal está Ok","A tensão longitudinal não passou")</f>
        <v>A tensão longitudinal está Ok</v>
      </c>
      <c r="D95" s="202"/>
      <c r="E95" s="202"/>
      <c r="F95" s="202"/>
      <c r="G95" s="202"/>
      <c r="H95" s="202"/>
      <c r="I95" s="202"/>
      <c r="J95" s="202"/>
      <c r="K95" s="203"/>
    </row>
    <row r="96" spans="1:11" ht="12.75">
      <c r="A96" s="197"/>
      <c r="B96" s="198"/>
      <c r="C96" s="201" t="str">
        <f>IF(B81&lt;=C93,"A tensão radial está Ok","A tensão radial não passou")</f>
        <v>A tensão radial está Ok</v>
      </c>
      <c r="D96" s="202"/>
      <c r="E96" s="202"/>
      <c r="F96" s="202"/>
      <c r="G96" s="202"/>
      <c r="H96" s="202"/>
      <c r="I96" s="202"/>
      <c r="J96" s="202"/>
      <c r="K96" s="203"/>
    </row>
    <row r="97" spans="1:11" ht="12.75">
      <c r="A97" s="197"/>
      <c r="B97" s="198"/>
      <c r="C97" s="201" t="str">
        <f>IF(B82&lt;=C94,"A tensão tangencial está Ok","A tensão tangencial não passou")</f>
        <v>A tensão tangencial está Ok</v>
      </c>
      <c r="D97" s="202"/>
      <c r="E97" s="202"/>
      <c r="F97" s="202"/>
      <c r="G97" s="202"/>
      <c r="H97" s="202"/>
      <c r="I97" s="202"/>
      <c r="J97" s="202"/>
      <c r="K97" s="203"/>
    </row>
    <row r="98" spans="1:11" ht="12.75">
      <c r="A98" s="197"/>
      <c r="B98" s="198"/>
      <c r="C98" s="201" t="str">
        <f>IF(C83&lt;=B64,"Ok, ((SHO+SRO)/2) é menor do que Sfp","Não passou: ((SHO+SRO)/2) é maior do que Sfp")</f>
        <v>Ok, ((SHO+SRO)/2) é menor do que Sfp</v>
      </c>
      <c r="D98" s="202"/>
      <c r="E98" s="202"/>
      <c r="F98" s="202"/>
      <c r="G98" s="202"/>
      <c r="H98" s="202"/>
      <c r="I98" s="202"/>
      <c r="J98" s="202"/>
      <c r="K98" s="203"/>
    </row>
    <row r="99" spans="1:11" ht="12.75">
      <c r="A99" s="199"/>
      <c r="B99" s="200"/>
      <c r="C99" s="201" t="str">
        <f>IF(C84&lt;=B64,"Ok, ((SHO+STO)/2) é menor do que Sfp","Não passou: ((SHO+STO)/2) é mairo do que Sfp")</f>
        <v>Não passou: ((SHO+STO)/2) é mairo do que Sfp</v>
      </c>
      <c r="D99" s="202"/>
      <c r="E99" s="202"/>
      <c r="F99" s="202"/>
      <c r="G99" s="202"/>
      <c r="H99" s="202"/>
      <c r="I99" s="202"/>
      <c r="J99" s="202"/>
      <c r="K99" s="203"/>
    </row>
    <row r="100" spans="1:11" ht="12.75">
      <c r="A100" s="180" t="s">
        <v>175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2"/>
    </row>
    <row r="101" spans="1:11" ht="12.75">
      <c r="A101" s="10" t="s">
        <v>176</v>
      </c>
      <c r="B101" s="15">
        <f>B43*(B55-B24)/2</f>
        <v>3587684.1811248604</v>
      </c>
      <c r="C101" s="2" t="s">
        <v>56</v>
      </c>
      <c r="D101" s="16">
        <f>B101*0.1152124</f>
        <v>413345.7049494299</v>
      </c>
      <c r="E101" s="7" t="s">
        <v>57</v>
      </c>
      <c r="F101" s="174" t="s">
        <v>177</v>
      </c>
      <c r="G101" s="175"/>
      <c r="H101" s="175"/>
      <c r="I101" s="175"/>
      <c r="J101" s="175"/>
      <c r="K101" s="176"/>
    </row>
    <row r="102" spans="1:11" ht="12.75">
      <c r="A102" s="10" t="s">
        <v>178</v>
      </c>
      <c r="B102" s="32">
        <f>IF(B51="a",(B211*B101)/(B221*(B53^2)*B56),0)</f>
        <v>25941.163061237425</v>
      </c>
      <c r="C102" s="13" t="s">
        <v>0</v>
      </c>
      <c r="D102" s="16">
        <f>B102*6.894757</f>
        <v>178858.01560460817</v>
      </c>
      <c r="E102" s="7" t="s">
        <v>120</v>
      </c>
      <c r="F102" s="174" t="s">
        <v>179</v>
      </c>
      <c r="G102" s="175"/>
      <c r="H102" s="175"/>
      <c r="I102" s="175"/>
      <c r="J102" s="175"/>
      <c r="K102" s="176"/>
    </row>
    <row r="103" spans="1:11" ht="12.75">
      <c r="A103" s="10" t="s">
        <v>180</v>
      </c>
      <c r="B103" s="32">
        <f>IF(B51="a",(((1.33*B61*B60)+1)*B101)/(B221*(B61^2)*B56),0)</f>
        <v>9405.611054148765</v>
      </c>
      <c r="C103" s="13" t="s">
        <v>0</v>
      </c>
      <c r="D103" s="16">
        <f>B103*6.894757</f>
        <v>64849.40265486958</v>
      </c>
      <c r="E103" s="7" t="s">
        <v>120</v>
      </c>
      <c r="F103" s="174" t="s">
        <v>181</v>
      </c>
      <c r="G103" s="175"/>
      <c r="H103" s="175"/>
      <c r="I103" s="175"/>
      <c r="J103" s="175"/>
      <c r="K103" s="176"/>
    </row>
    <row r="104" spans="1:11" ht="24.75" customHeight="1">
      <c r="A104" s="10" t="s">
        <v>182</v>
      </c>
      <c r="B104" s="33">
        <f>IF(B51="a",((B215*B101)/((B61^2)*B56))-(B216*B103),(B215*B101)/((B61^2)*B56))</f>
        <v>10854.773383704221</v>
      </c>
      <c r="C104" s="13" t="s">
        <v>0</v>
      </c>
      <c r="D104" s="16">
        <f>B104*6.894757</f>
        <v>74841.02477070838</v>
      </c>
      <c r="E104" s="7" t="s">
        <v>120</v>
      </c>
      <c r="F104" s="174" t="s">
        <v>183</v>
      </c>
      <c r="G104" s="175"/>
      <c r="H104" s="175"/>
      <c r="I104" s="175"/>
      <c r="J104" s="175"/>
      <c r="K104" s="176"/>
    </row>
    <row r="105" spans="1:11" ht="12.75">
      <c r="A105" s="183" t="s">
        <v>184</v>
      </c>
      <c r="B105" s="184"/>
      <c r="C105" s="204">
        <f>(B102+B103)/2</f>
        <v>17673.387057693093</v>
      </c>
      <c r="D105" s="205"/>
      <c r="E105" s="17" t="s">
        <v>0</v>
      </c>
      <c r="F105" s="3">
        <f>C105*6.894757</f>
        <v>121853.70912973887</v>
      </c>
      <c r="G105" s="7" t="s">
        <v>120</v>
      </c>
      <c r="H105" s="177" t="s">
        <v>185</v>
      </c>
      <c r="I105" s="178"/>
      <c r="J105" s="178"/>
      <c r="K105" s="179"/>
    </row>
    <row r="106" spans="1:11" ht="12.75">
      <c r="A106" s="183" t="s">
        <v>186</v>
      </c>
      <c r="B106" s="184"/>
      <c r="C106" s="204">
        <f>(B102+B104)/2</f>
        <v>18397.968222470823</v>
      </c>
      <c r="D106" s="205"/>
      <c r="E106" s="17" t="s">
        <v>0</v>
      </c>
      <c r="F106" s="3">
        <f>C106*6.894757</f>
        <v>126849.52018765827</v>
      </c>
      <c r="G106" s="7" t="s">
        <v>120</v>
      </c>
      <c r="H106" s="177" t="s">
        <v>185</v>
      </c>
      <c r="I106" s="178"/>
      <c r="J106" s="178"/>
      <c r="K106" s="179"/>
    </row>
    <row r="107" spans="1:11" ht="12.75">
      <c r="A107" s="206" t="s">
        <v>187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8"/>
    </row>
    <row r="108" spans="1:11" ht="12.75">
      <c r="A108" s="195" t="s">
        <v>188</v>
      </c>
      <c r="B108" s="196"/>
      <c r="C108" s="201" t="str">
        <f>IF(B102&lt;=1.5*B65,"A tensão longitudinal está Ok","A tensão longitudinal não passou")</f>
        <v>A tensão longitudinal está Ok</v>
      </c>
      <c r="D108" s="202"/>
      <c r="E108" s="202"/>
      <c r="F108" s="202"/>
      <c r="G108" s="202"/>
      <c r="H108" s="202"/>
      <c r="I108" s="202"/>
      <c r="J108" s="202"/>
      <c r="K108" s="203"/>
    </row>
    <row r="109" spans="1:11" ht="12.75">
      <c r="A109" s="197"/>
      <c r="B109" s="198"/>
      <c r="C109" s="201" t="str">
        <f>IF(B103&lt;=B65,"A tensão radial está Ok","A tensão radial não passou")</f>
        <v>A tensão radial está Ok</v>
      </c>
      <c r="D109" s="202"/>
      <c r="E109" s="202"/>
      <c r="F109" s="202"/>
      <c r="G109" s="202"/>
      <c r="H109" s="202"/>
      <c r="I109" s="202"/>
      <c r="J109" s="202"/>
      <c r="K109" s="203"/>
    </row>
    <row r="110" spans="1:11" ht="12.75">
      <c r="A110" s="197"/>
      <c r="B110" s="198"/>
      <c r="C110" s="201" t="str">
        <f>IF(B104&lt;=B65,"A tensão tangencial está Ok","A tensão tangencial não passou")</f>
        <v>A tensão tangencial está Ok</v>
      </c>
      <c r="D110" s="202"/>
      <c r="E110" s="202"/>
      <c r="F110" s="202"/>
      <c r="G110" s="202"/>
      <c r="H110" s="202"/>
      <c r="I110" s="202"/>
      <c r="J110" s="202"/>
      <c r="K110" s="203"/>
    </row>
    <row r="111" spans="1:11" ht="12.75">
      <c r="A111" s="197"/>
      <c r="B111" s="198"/>
      <c r="C111" s="201" t="str">
        <f>IF(C105&lt;=B65,"Ok, ((SHA+SRA)/2) é menor do que Sff","Não passou: ((SHA+SRA)/2) é maior do que Sff")</f>
        <v>Ok, ((SHA+SRA)/2) é menor do que Sff</v>
      </c>
      <c r="D111" s="202"/>
      <c r="E111" s="202"/>
      <c r="F111" s="202"/>
      <c r="G111" s="202"/>
      <c r="H111" s="202"/>
      <c r="I111" s="202"/>
      <c r="J111" s="202"/>
      <c r="K111" s="203"/>
    </row>
    <row r="112" spans="1:11" ht="12.75">
      <c r="A112" s="199"/>
      <c r="B112" s="200"/>
      <c r="C112" s="201" t="str">
        <f>IF(C106&lt;=B65,"Ok, ((SHA+STA)/2) é menor do que Sff","Não passou: ((SHA+STA)/2) é maior do que Sff")</f>
        <v>Ok, ((SHA+STA)/2) é menor do que Sff</v>
      </c>
      <c r="D112" s="202"/>
      <c r="E112" s="202"/>
      <c r="F112" s="202"/>
      <c r="G112" s="202"/>
      <c r="H112" s="202"/>
      <c r="I112" s="202"/>
      <c r="J112" s="202"/>
      <c r="K112" s="203"/>
    </row>
    <row r="113" spans="1:11" ht="21.75" customHeight="1">
      <c r="A113" s="206" t="s">
        <v>189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10"/>
    </row>
    <row r="114" spans="1:13" ht="12.75">
      <c r="A114" s="10" t="s">
        <v>190</v>
      </c>
      <c r="B114" s="28">
        <v>25974.971627881983</v>
      </c>
      <c r="C114" s="2" t="s">
        <v>0</v>
      </c>
      <c r="D114" s="16">
        <f>B114*6.894757</f>
        <v>179091.1174561407</v>
      </c>
      <c r="E114" s="7" t="s">
        <v>120</v>
      </c>
      <c r="F114" s="174" t="s">
        <v>191</v>
      </c>
      <c r="G114" s="175"/>
      <c r="H114" s="175"/>
      <c r="I114" s="175"/>
      <c r="J114" s="175"/>
      <c r="K114" s="176"/>
      <c r="L114" s="34">
        <f>B116/B36</f>
        <v>34442.812378571514</v>
      </c>
      <c r="M114" s="34">
        <f>D116/B36</f>
        <v>15622.997929545962</v>
      </c>
    </row>
    <row r="115" spans="1:12" ht="12.75">
      <c r="A115" s="19" t="s">
        <v>192</v>
      </c>
      <c r="B115" s="20">
        <f>+B114*0.5</f>
        <v>12987.485813940992</v>
      </c>
      <c r="C115" s="2" t="s">
        <v>0</v>
      </c>
      <c r="D115" s="16">
        <f>B115*6.894757</f>
        <v>89545.55872807035</v>
      </c>
      <c r="E115" s="7" t="s">
        <v>120</v>
      </c>
      <c r="F115" s="174" t="s">
        <v>193</v>
      </c>
      <c r="G115" s="175"/>
      <c r="H115" s="175"/>
      <c r="I115" s="175"/>
      <c r="J115" s="175"/>
      <c r="K115" s="176"/>
      <c r="L115" s="28">
        <f>B116/B37/B36</f>
        <v>12987.485813940993</v>
      </c>
    </row>
    <row r="116" spans="1:11" ht="18.75" customHeight="1">
      <c r="A116" s="19" t="s">
        <v>194</v>
      </c>
      <c r="B116" s="16">
        <f>+B115*B37*B36</f>
        <v>1102169.9961142885</v>
      </c>
      <c r="C116" s="2" t="s">
        <v>29</v>
      </c>
      <c r="D116" s="30">
        <f>B116*0.4535924</f>
        <v>499935.9337454708</v>
      </c>
      <c r="E116" s="7" t="s">
        <v>1</v>
      </c>
      <c r="F116" s="174" t="s">
        <v>195</v>
      </c>
      <c r="G116" s="175"/>
      <c r="H116" s="175"/>
      <c r="I116" s="175"/>
      <c r="J116" s="175"/>
      <c r="K116" s="176"/>
    </row>
    <row r="117" spans="1:11" ht="18" customHeight="1">
      <c r="A117" s="10" t="s">
        <v>196</v>
      </c>
      <c r="B117" s="15">
        <f>B116*(B55-B24)/2</f>
        <v>3900087.3767603887</v>
      </c>
      <c r="C117" s="2" t="s">
        <v>56</v>
      </c>
      <c r="D117" s="16">
        <f>B117*0.1152124</f>
        <v>449338.42688626866</v>
      </c>
      <c r="E117" s="7" t="s">
        <v>57</v>
      </c>
      <c r="F117" s="174" t="s">
        <v>197</v>
      </c>
      <c r="G117" s="175"/>
      <c r="H117" s="175"/>
      <c r="I117" s="175"/>
      <c r="J117" s="175"/>
      <c r="K117" s="176"/>
    </row>
    <row r="118" spans="1:11" ht="20.25" customHeight="1">
      <c r="A118" s="10" t="s">
        <v>198</v>
      </c>
      <c r="B118" s="32">
        <f>IF(B51="a",(B211*B117)/(B221*(B53^2)*B56),0)</f>
        <v>28200.03029416426</v>
      </c>
      <c r="C118" s="13" t="s">
        <v>0</v>
      </c>
      <c r="D118" s="16">
        <f>B118*6.894757</f>
        <v>194432.35627090107</v>
      </c>
      <c r="E118" s="7" t="s">
        <v>120</v>
      </c>
      <c r="F118" s="174" t="s">
        <v>199</v>
      </c>
      <c r="G118" s="175"/>
      <c r="H118" s="175"/>
      <c r="I118" s="175"/>
      <c r="J118" s="175"/>
      <c r="K118" s="176"/>
    </row>
    <row r="119" spans="1:11" ht="21" customHeight="1">
      <c r="A119" s="10" t="s">
        <v>200</v>
      </c>
      <c r="B119" s="32">
        <f>IF(B51="a",(((1.33*B61*B60)+1)*B117)/(B221*(B61^2)*B56),0)</f>
        <v>10224.619306235116</v>
      </c>
      <c r="C119" s="13" t="s">
        <v>0</v>
      </c>
      <c r="D119" s="16">
        <f>B119*6.894757</f>
        <v>70496.26553399971</v>
      </c>
      <c r="E119" s="7" t="s">
        <v>120</v>
      </c>
      <c r="F119" s="174" t="s">
        <v>201</v>
      </c>
      <c r="G119" s="175"/>
      <c r="H119" s="175"/>
      <c r="I119" s="175"/>
      <c r="J119" s="175"/>
      <c r="K119" s="176"/>
    </row>
    <row r="120" spans="1:11" ht="18" customHeight="1">
      <c r="A120" s="10" t="s">
        <v>202</v>
      </c>
      <c r="B120" s="33">
        <f>IF(B51="a",((B215*B117)/((B61^2)*B56))-(B216*B119),(B215*B117)/((B61^2)*B56))</f>
        <v>11799.969705835752</v>
      </c>
      <c r="C120" s="13" t="s">
        <v>0</v>
      </c>
      <c r="D120" s="16">
        <f>B120*6.894757</f>
        <v>81357.923729099</v>
      </c>
      <c r="E120" s="7" t="s">
        <v>120</v>
      </c>
      <c r="F120" s="174" t="s">
        <v>203</v>
      </c>
      <c r="G120" s="175"/>
      <c r="H120" s="175"/>
      <c r="I120" s="175"/>
      <c r="J120" s="175"/>
      <c r="K120" s="176"/>
    </row>
    <row r="121" spans="1:11" ht="12.75">
      <c r="A121" s="183" t="s">
        <v>204</v>
      </c>
      <c r="B121" s="184"/>
      <c r="C121" s="211">
        <f>(B118+B119)/2</f>
        <v>19212.324800199687</v>
      </c>
      <c r="D121" s="211"/>
      <c r="E121" s="17" t="s">
        <v>0</v>
      </c>
      <c r="F121" s="16">
        <f>C121*6.894757</f>
        <v>132464.3109024504</v>
      </c>
      <c r="G121" s="7" t="s">
        <v>120</v>
      </c>
      <c r="H121" s="177" t="s">
        <v>185</v>
      </c>
      <c r="I121" s="178"/>
      <c r="J121" s="178"/>
      <c r="K121" s="179"/>
    </row>
    <row r="122" spans="1:11" ht="12.75">
      <c r="A122" s="183" t="s">
        <v>205</v>
      </c>
      <c r="B122" s="184"/>
      <c r="C122" s="211">
        <f>(B118+B120)/2</f>
        <v>20000.000000000007</v>
      </c>
      <c r="D122" s="211"/>
      <c r="E122" s="17" t="s">
        <v>0</v>
      </c>
      <c r="F122" s="16">
        <f>C122*6.894757</f>
        <v>137895.14000000004</v>
      </c>
      <c r="G122" s="7" t="s">
        <v>120</v>
      </c>
      <c r="H122" s="177" t="s">
        <v>185</v>
      </c>
      <c r="I122" s="178"/>
      <c r="J122" s="178"/>
      <c r="K122" s="179"/>
    </row>
    <row r="123" spans="1:11" ht="12.75">
      <c r="A123" s="206" t="s">
        <v>206</v>
      </c>
      <c r="B123" s="207"/>
      <c r="C123" s="207"/>
      <c r="D123" s="207"/>
      <c r="E123" s="207"/>
      <c r="F123" s="207"/>
      <c r="G123" s="207"/>
      <c r="H123" s="207"/>
      <c r="I123" s="207"/>
      <c r="J123" s="207"/>
      <c r="K123" s="208"/>
    </row>
    <row r="124" spans="1:11" ht="12.75">
      <c r="A124" s="195" t="s">
        <v>207</v>
      </c>
      <c r="B124" s="196"/>
      <c r="C124" s="201" t="str">
        <f>IF(B118&lt;=1.5*B65,"A tensão longitudinal está Ok","A tensão longitudinal não passou")</f>
        <v>A tensão longitudinal está Ok</v>
      </c>
      <c r="D124" s="202"/>
      <c r="E124" s="202"/>
      <c r="F124" s="202"/>
      <c r="G124" s="202"/>
      <c r="H124" s="202"/>
      <c r="I124" s="202"/>
      <c r="J124" s="202"/>
      <c r="K124" s="203"/>
    </row>
    <row r="125" spans="1:11" ht="12.75">
      <c r="A125" s="197"/>
      <c r="B125" s="198"/>
      <c r="C125" s="201" t="str">
        <f>IF(B119&lt;=B65,"A tensão radial está Ok","A tensão radial não passou")</f>
        <v>A tensão radial está Ok</v>
      </c>
      <c r="D125" s="202"/>
      <c r="E125" s="202"/>
      <c r="F125" s="202"/>
      <c r="G125" s="202"/>
      <c r="H125" s="202"/>
      <c r="I125" s="202"/>
      <c r="J125" s="202"/>
      <c r="K125" s="203"/>
    </row>
    <row r="126" spans="1:11" ht="12.75">
      <c r="A126" s="197"/>
      <c r="B126" s="198"/>
      <c r="C126" s="201" t="str">
        <f>IF(B120&lt;=B65,"A tensão tangencial está Ok","A tensão tangencial não passou")</f>
        <v>A tensão tangencial está Ok</v>
      </c>
      <c r="D126" s="202"/>
      <c r="E126" s="202"/>
      <c r="F126" s="202"/>
      <c r="G126" s="202"/>
      <c r="H126" s="202"/>
      <c r="I126" s="202"/>
      <c r="J126" s="202"/>
      <c r="K126" s="203"/>
    </row>
    <row r="127" spans="1:11" ht="12.75">
      <c r="A127" s="197"/>
      <c r="B127" s="198"/>
      <c r="C127" s="201" t="str">
        <f>IF(C121&lt;=B65,"Ok, ((SHI+SRI)/2) é menor do que Sff","Não passou: ((SHI+SRI)/2) é maior do que Sff")</f>
        <v>Ok, ((SHI+SRI)/2) é menor do que Sff</v>
      </c>
      <c r="D127" s="202"/>
      <c r="E127" s="202"/>
      <c r="F127" s="202"/>
      <c r="G127" s="202"/>
      <c r="H127" s="202"/>
      <c r="I127" s="202"/>
      <c r="J127" s="202"/>
      <c r="K127" s="203"/>
    </row>
    <row r="128" spans="1:11" ht="12.75">
      <c r="A128" s="199"/>
      <c r="B128" s="200"/>
      <c r="C128" s="201" t="str">
        <f>IF(C122&lt;=B65,"Ok, ((SHI+STI)/2) é menor do que Sff","Não passou: ((SHI+STI)/2) é maior do que Sff")</f>
        <v>Ok, ((SHI+STI)/2) é menor do que Sff</v>
      </c>
      <c r="D128" s="202"/>
      <c r="E128" s="202"/>
      <c r="F128" s="202"/>
      <c r="G128" s="202"/>
      <c r="H128" s="202"/>
      <c r="I128" s="202"/>
      <c r="J128" s="202"/>
      <c r="K128" s="203"/>
    </row>
    <row r="129" spans="1:11" ht="12.75">
      <c r="A129" s="180" t="s">
        <v>208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7"/>
    </row>
    <row r="130" spans="1:11" ht="12.75">
      <c r="A130" s="162" t="s">
        <v>365</v>
      </c>
      <c r="B130" s="163"/>
      <c r="C130" s="163"/>
      <c r="D130" s="163"/>
      <c r="E130" s="163"/>
      <c r="F130" s="163"/>
      <c r="G130" s="163"/>
      <c r="H130" s="163"/>
      <c r="I130" s="163"/>
      <c r="J130" s="163"/>
      <c r="K130" s="164"/>
    </row>
    <row r="131" spans="1:11" ht="12.75">
      <c r="A131" s="165" t="s">
        <v>209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7"/>
    </row>
    <row r="132" spans="1:11" ht="12.75">
      <c r="A132" s="165" t="s">
        <v>210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7"/>
    </row>
    <row r="133" spans="1:11" ht="12.75">
      <c r="A133" s="168" t="s">
        <v>211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70"/>
    </row>
    <row r="134" spans="1:11" ht="12.75">
      <c r="A134" s="21" t="s">
        <v>212</v>
      </c>
      <c r="B134" s="31" t="s">
        <v>92</v>
      </c>
      <c r="C134" s="212" t="s">
        <v>213</v>
      </c>
      <c r="D134" s="213"/>
      <c r="E134" s="213"/>
      <c r="F134" s="213"/>
      <c r="G134" s="213"/>
      <c r="H134" s="213"/>
      <c r="I134" s="213"/>
      <c r="J134" s="213"/>
      <c r="K134" s="214"/>
    </row>
    <row r="135" spans="1:11" ht="12.75">
      <c r="A135" s="154" t="s">
        <v>214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6"/>
    </row>
    <row r="136" spans="1:11" ht="12.75">
      <c r="A136" s="10" t="s">
        <v>151</v>
      </c>
      <c r="B136" s="35">
        <f>+B79</f>
        <v>454292.25495663396</v>
      </c>
      <c r="C136" s="10" t="s">
        <v>215</v>
      </c>
      <c r="D136" s="16">
        <f>B136*0.1152124</f>
        <v>52340.100994965695</v>
      </c>
      <c r="E136" s="7" t="s">
        <v>57</v>
      </c>
      <c r="F136" s="171" t="s">
        <v>216</v>
      </c>
      <c r="G136" s="172"/>
      <c r="H136" s="172"/>
      <c r="I136" s="172"/>
      <c r="J136" s="172"/>
      <c r="K136" s="173"/>
    </row>
    <row r="137" spans="1:11" ht="18.75" customHeight="1">
      <c r="A137" s="10" t="s">
        <v>217</v>
      </c>
      <c r="B137" s="36">
        <f>(52.14*B136*B207)/(B221*B63*(B54^2)*B59*0.3)</f>
        <v>0.08888810346472084</v>
      </c>
      <c r="C137" s="13" t="s">
        <v>218</v>
      </c>
      <c r="D137" s="22">
        <f>B137</f>
        <v>0.08888810346472084</v>
      </c>
      <c r="E137" s="13" t="s">
        <v>218</v>
      </c>
      <c r="F137" s="174" t="s">
        <v>219</v>
      </c>
      <c r="G137" s="175"/>
      <c r="H137" s="175"/>
      <c r="I137" s="175"/>
      <c r="J137" s="175"/>
      <c r="K137" s="176"/>
    </row>
    <row r="138" spans="1:11" ht="21.75" customHeight="1">
      <c r="A138" s="1" t="s">
        <v>220</v>
      </c>
      <c r="B138" s="36">
        <f>(52.14*B136*B210)/(B222*B63*(B54^2)*B59*0.2)</f>
        <v>0.14826368648238825</v>
      </c>
      <c r="C138" s="2" t="s">
        <v>218</v>
      </c>
      <c r="D138" s="22">
        <f>B138</f>
        <v>0.14826368648238825</v>
      </c>
      <c r="E138" s="2" t="s">
        <v>218</v>
      </c>
      <c r="F138" s="148" t="s">
        <v>221</v>
      </c>
      <c r="G138" s="149"/>
      <c r="H138" s="149"/>
      <c r="I138" s="149"/>
      <c r="J138" s="149"/>
      <c r="K138" s="150"/>
    </row>
    <row r="139" spans="1:11" ht="18" customHeight="1">
      <c r="A139" s="10" t="s">
        <v>222</v>
      </c>
      <c r="B139" s="36">
        <f>(109.4*B136)/(B63*(B61^3)*(LN(B213))*0.2)</f>
        <v>0.4446282672457043</v>
      </c>
      <c r="C139" s="13" t="s">
        <v>218</v>
      </c>
      <c r="D139" s="22">
        <f>B139</f>
        <v>0.4446282672457043</v>
      </c>
      <c r="E139" s="13" t="s">
        <v>218</v>
      </c>
      <c r="F139" s="174" t="s">
        <v>223</v>
      </c>
      <c r="G139" s="175"/>
      <c r="H139" s="175"/>
      <c r="I139" s="175"/>
      <c r="J139" s="175"/>
      <c r="K139" s="176"/>
    </row>
    <row r="140" spans="1:11" ht="12.75">
      <c r="A140" s="1" t="s">
        <v>224</v>
      </c>
      <c r="B140" s="23">
        <f>IF(B134="a",B137,IF(B134="b",B138,IF(B134="c",B139)))</f>
        <v>0.08888810346472084</v>
      </c>
      <c r="C140" s="2" t="s">
        <v>14</v>
      </c>
      <c r="D140" s="22">
        <f>B140</f>
        <v>0.08888810346472084</v>
      </c>
      <c r="E140" s="2" t="s">
        <v>14</v>
      </c>
      <c r="F140" s="148" t="s">
        <v>225</v>
      </c>
      <c r="G140" s="149"/>
      <c r="H140" s="149"/>
      <c r="I140" s="149"/>
      <c r="J140" s="149"/>
      <c r="K140" s="150"/>
    </row>
    <row r="141" spans="1:11" ht="12.75" customHeight="1">
      <c r="A141" s="217" t="s">
        <v>226</v>
      </c>
      <c r="B141" s="218"/>
      <c r="C141" s="218"/>
      <c r="D141" s="218"/>
      <c r="E141" s="219"/>
      <c r="F141" s="220" t="str">
        <f>+IF(B140&lt;=1,"OK, os flanges tem rigidez suficiente","Reanalisar, os flanges não tem rigidez suficiente")</f>
        <v>OK, os flanges tem rigidez suficiente</v>
      </c>
      <c r="G141" s="221"/>
      <c r="H141" s="221"/>
      <c r="I141" s="221"/>
      <c r="J141" s="221"/>
      <c r="K141" s="222"/>
    </row>
    <row r="142" spans="1:11" ht="12.75">
      <c r="A142" s="154" t="s">
        <v>227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216"/>
    </row>
    <row r="143" spans="1:11" ht="12.75">
      <c r="A143" s="10" t="s">
        <v>176</v>
      </c>
      <c r="B143" s="35">
        <f>+B101</f>
        <v>3587684.1811248604</v>
      </c>
      <c r="C143" s="10" t="s">
        <v>215</v>
      </c>
      <c r="D143" s="16">
        <f>B143*0.1152124</f>
        <v>413345.7049494299</v>
      </c>
      <c r="E143" s="7" t="s">
        <v>57</v>
      </c>
      <c r="F143" s="171" t="s">
        <v>228</v>
      </c>
      <c r="G143" s="172"/>
      <c r="H143" s="172"/>
      <c r="I143" s="172"/>
      <c r="J143" s="172"/>
      <c r="K143" s="173"/>
    </row>
    <row r="144" spans="1:11" ht="19.5" customHeight="1">
      <c r="A144" s="10" t="s">
        <v>217</v>
      </c>
      <c r="B144" s="36">
        <f>(52.14*B143*B207)/(B221*B63*(B54^2)*B59*0.3)</f>
        <v>0.7019764022193395</v>
      </c>
      <c r="C144" s="13" t="s">
        <v>218</v>
      </c>
      <c r="D144" s="22">
        <f>B144</f>
        <v>0.7019764022193395</v>
      </c>
      <c r="E144" s="13" t="s">
        <v>218</v>
      </c>
      <c r="F144" s="174" t="s">
        <v>219</v>
      </c>
      <c r="G144" s="175"/>
      <c r="H144" s="175"/>
      <c r="I144" s="175"/>
      <c r="J144" s="175"/>
      <c r="K144" s="176"/>
    </row>
    <row r="145" spans="1:11" ht="18" customHeight="1">
      <c r="A145" s="1" t="s">
        <v>220</v>
      </c>
      <c r="B145" s="36">
        <f>(52.14*B143*B210)/(B222*B63*(B54^2)*B59*0.2)</f>
        <v>1.1708834496394764</v>
      </c>
      <c r="C145" s="2" t="s">
        <v>218</v>
      </c>
      <c r="D145" s="22">
        <f>B145</f>
        <v>1.1708834496394764</v>
      </c>
      <c r="E145" s="2" t="s">
        <v>218</v>
      </c>
      <c r="F145" s="148" t="s">
        <v>221</v>
      </c>
      <c r="G145" s="149"/>
      <c r="H145" s="149"/>
      <c r="I145" s="149"/>
      <c r="J145" s="149"/>
      <c r="K145" s="150"/>
    </row>
    <row r="146" spans="1:11" ht="24.75" customHeight="1">
      <c r="A146" s="10" t="s">
        <v>222</v>
      </c>
      <c r="B146" s="36">
        <f>(109.4*B143)/(B63*(B61^3)*(LN(B213))*0.2)</f>
        <v>3.5113647293648977</v>
      </c>
      <c r="C146" s="13" t="s">
        <v>218</v>
      </c>
      <c r="D146" s="22">
        <f>B146</f>
        <v>3.5113647293648977</v>
      </c>
      <c r="E146" s="13" t="s">
        <v>218</v>
      </c>
      <c r="F146" s="174" t="s">
        <v>223</v>
      </c>
      <c r="G146" s="175"/>
      <c r="H146" s="175"/>
      <c r="I146" s="175"/>
      <c r="J146" s="175"/>
      <c r="K146" s="176"/>
    </row>
    <row r="147" spans="1:11" ht="12.75">
      <c r="A147" s="1" t="s">
        <v>224</v>
      </c>
      <c r="B147" s="23">
        <f>IF(B134="a",B144,IF(B134="b",B145,IF(B134="c",B146)))</f>
        <v>0.7019764022193395</v>
      </c>
      <c r="C147" s="2" t="s">
        <v>14</v>
      </c>
      <c r="D147" s="22">
        <f>B147</f>
        <v>0.7019764022193395</v>
      </c>
      <c r="E147" s="2" t="s">
        <v>14</v>
      </c>
      <c r="F147" s="148" t="s">
        <v>229</v>
      </c>
      <c r="G147" s="149"/>
      <c r="H147" s="149"/>
      <c r="I147" s="149"/>
      <c r="J147" s="149"/>
      <c r="K147" s="150"/>
    </row>
    <row r="148" spans="1:11" ht="12.75" customHeight="1">
      <c r="A148" s="217" t="s">
        <v>226</v>
      </c>
      <c r="B148" s="218"/>
      <c r="C148" s="218"/>
      <c r="D148" s="218"/>
      <c r="E148" s="219"/>
      <c r="F148" s="220" t="str">
        <f>+IF(B147&lt;=1,"OK, os flanges tem rigidez suficiente","Reanalisar, os flanges não tem rigidez suficiente")</f>
        <v>OK, os flanges tem rigidez suficiente</v>
      </c>
      <c r="G148" s="221"/>
      <c r="H148" s="221"/>
      <c r="I148" s="221"/>
      <c r="J148" s="221"/>
      <c r="K148" s="222"/>
    </row>
    <row r="149" spans="1:11" ht="12.75">
      <c r="A149" s="154" t="s">
        <v>230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6"/>
    </row>
    <row r="150" spans="1:11" ht="12.75">
      <c r="A150" s="10" t="s">
        <v>196</v>
      </c>
      <c r="B150" s="35">
        <f>+B117</f>
        <v>3900087.3767603887</v>
      </c>
      <c r="C150" s="10" t="s">
        <v>215</v>
      </c>
      <c r="D150" s="16">
        <f>B150*0.1152124</f>
        <v>449338.42688626866</v>
      </c>
      <c r="E150" s="7" t="s">
        <v>57</v>
      </c>
      <c r="F150" s="171" t="s">
        <v>231</v>
      </c>
      <c r="G150" s="172"/>
      <c r="H150" s="172"/>
      <c r="I150" s="172"/>
      <c r="J150" s="172"/>
      <c r="K150" s="173"/>
    </row>
    <row r="151" spans="1:11" ht="24.75" customHeight="1">
      <c r="A151" s="10" t="s">
        <v>217</v>
      </c>
      <c r="B151" s="36">
        <f>(52.14*B150*B207)/(B221*B63*(B54^2)*B59*0.3)</f>
        <v>0.7631020922864332</v>
      </c>
      <c r="C151" s="13" t="s">
        <v>218</v>
      </c>
      <c r="D151" s="22">
        <f>B151</f>
        <v>0.7631020922864332</v>
      </c>
      <c r="E151" s="13" t="s">
        <v>218</v>
      </c>
      <c r="F151" s="174" t="s">
        <v>219</v>
      </c>
      <c r="G151" s="175"/>
      <c r="H151" s="175"/>
      <c r="I151" s="175"/>
      <c r="J151" s="175"/>
      <c r="K151" s="176"/>
    </row>
    <row r="152" spans="1:11" ht="18.75" customHeight="1">
      <c r="A152" s="1" t="s">
        <v>220</v>
      </c>
      <c r="B152" s="36">
        <f>(52.14*B150*B210)/(B222*B63*(B54^2)*B59*0.2)</f>
        <v>1.272839952195796</v>
      </c>
      <c r="C152" s="2" t="s">
        <v>218</v>
      </c>
      <c r="D152" s="22">
        <f>B152</f>
        <v>1.272839952195796</v>
      </c>
      <c r="E152" s="2" t="s">
        <v>218</v>
      </c>
      <c r="F152" s="148" t="s">
        <v>221</v>
      </c>
      <c r="G152" s="149"/>
      <c r="H152" s="149"/>
      <c r="I152" s="149"/>
      <c r="J152" s="149"/>
      <c r="K152" s="150"/>
    </row>
    <row r="153" spans="1:11" ht="21.75" customHeight="1">
      <c r="A153" s="10" t="s">
        <v>222</v>
      </c>
      <c r="B153" s="36">
        <f>(109.4*B150)/(B63*(B61^3)*(LN(B213))*0.2)</f>
        <v>3.817122289706104</v>
      </c>
      <c r="C153" s="13" t="s">
        <v>218</v>
      </c>
      <c r="D153" s="22">
        <f>B153</f>
        <v>3.817122289706104</v>
      </c>
      <c r="E153" s="13" t="s">
        <v>218</v>
      </c>
      <c r="F153" s="174" t="s">
        <v>223</v>
      </c>
      <c r="G153" s="175"/>
      <c r="H153" s="175"/>
      <c r="I153" s="175"/>
      <c r="J153" s="175"/>
      <c r="K153" s="176"/>
    </row>
    <row r="154" spans="1:11" ht="12.75">
      <c r="A154" s="1" t="s">
        <v>224</v>
      </c>
      <c r="B154" s="23">
        <f>IF(B134="a",B151,IF(B134="b",B152,IF(B134="c",B153)))</f>
        <v>0.7631020922864332</v>
      </c>
      <c r="C154" s="2" t="s">
        <v>14</v>
      </c>
      <c r="D154" s="22">
        <f>B154</f>
        <v>0.7631020922864332</v>
      </c>
      <c r="E154" s="2" t="s">
        <v>14</v>
      </c>
      <c r="F154" s="148" t="s">
        <v>232</v>
      </c>
      <c r="G154" s="149"/>
      <c r="H154" s="149"/>
      <c r="I154" s="149"/>
      <c r="J154" s="149"/>
      <c r="K154" s="150"/>
    </row>
    <row r="155" spans="1:11" ht="12.75" customHeight="1">
      <c r="A155" s="217" t="s">
        <v>226</v>
      </c>
      <c r="B155" s="218"/>
      <c r="C155" s="218"/>
      <c r="D155" s="218"/>
      <c r="E155" s="219"/>
      <c r="F155" s="220" t="str">
        <f>+IF(B154&lt;=1,"OK, os flanges tem rigidez suficiente","Reanalisar, os flanges não tem rigidez suficiente")</f>
        <v>OK, os flanges tem rigidez suficiente</v>
      </c>
      <c r="G155" s="221"/>
      <c r="H155" s="221"/>
      <c r="I155" s="221"/>
      <c r="J155" s="221"/>
      <c r="K155" s="222"/>
    </row>
    <row r="156" spans="1:11" ht="12.75">
      <c r="A156" s="217"/>
      <c r="B156" s="218"/>
      <c r="C156" s="218"/>
      <c r="D156" s="218"/>
      <c r="E156" s="218"/>
      <c r="F156" s="218"/>
      <c r="G156" s="218"/>
      <c r="H156" s="218"/>
      <c r="I156" s="218"/>
      <c r="J156" s="218"/>
      <c r="K156" s="219"/>
    </row>
    <row r="157" spans="1:11" ht="12.75">
      <c r="A157" s="217"/>
      <c r="B157" s="218"/>
      <c r="C157" s="218"/>
      <c r="D157" s="218"/>
      <c r="E157" s="218"/>
      <c r="F157" s="218"/>
      <c r="G157" s="218"/>
      <c r="H157" s="218"/>
      <c r="I157" s="218"/>
      <c r="J157" s="218"/>
      <c r="K157" s="219"/>
    </row>
    <row r="158" spans="1:11" ht="12.75">
      <c r="A158" s="223" t="s">
        <v>233</v>
      </c>
      <c r="B158" s="224"/>
      <c r="C158" s="224"/>
      <c r="D158" s="224"/>
      <c r="E158" s="224"/>
      <c r="F158" s="224"/>
      <c r="G158" s="224"/>
      <c r="H158" s="224"/>
      <c r="I158" s="224"/>
      <c r="J158" s="224"/>
      <c r="K158" s="225"/>
    </row>
    <row r="159" spans="1:11" ht="12.75">
      <c r="A159" s="1" t="s">
        <v>108</v>
      </c>
      <c r="B159" s="36">
        <f>(B56*B54)^0.5</f>
        <v>5.15507547467603</v>
      </c>
      <c r="C159" s="2" t="s">
        <v>47</v>
      </c>
      <c r="D159" s="24">
        <f>B159*25.4</f>
        <v>130.93891705677115</v>
      </c>
      <c r="E159" s="7" t="s">
        <v>2</v>
      </c>
      <c r="F159" s="148" t="s">
        <v>234</v>
      </c>
      <c r="G159" s="149"/>
      <c r="H159" s="149"/>
      <c r="I159" s="149"/>
      <c r="J159" s="149"/>
      <c r="K159" s="150"/>
    </row>
    <row r="160" spans="1:11" ht="12.75">
      <c r="A160" s="1" t="s">
        <v>235</v>
      </c>
      <c r="B160" s="36">
        <f>(B53/B54)-1</f>
        <v>1.3780000000000001</v>
      </c>
      <c r="C160" s="2" t="s">
        <v>218</v>
      </c>
      <c r="D160" s="22">
        <f aca="true" t="shared" si="1" ref="D160:D221">B160</f>
        <v>1.3780000000000001</v>
      </c>
      <c r="E160" s="2" t="s">
        <v>218</v>
      </c>
      <c r="F160" s="148" t="s">
        <v>236</v>
      </c>
      <c r="G160" s="149"/>
      <c r="H160" s="149"/>
      <c r="I160" s="149"/>
      <c r="J160" s="149"/>
      <c r="K160" s="150"/>
    </row>
    <row r="161" spans="1:11" ht="12.75">
      <c r="A161" s="1" t="s">
        <v>237</v>
      </c>
      <c r="B161" s="36">
        <f>B53/B54</f>
        <v>2.378</v>
      </c>
      <c r="C161" s="2" t="s">
        <v>218</v>
      </c>
      <c r="D161" s="22">
        <f t="shared" si="1"/>
        <v>2.378</v>
      </c>
      <c r="E161" s="2" t="s">
        <v>218</v>
      </c>
      <c r="F161" s="148" t="s">
        <v>237</v>
      </c>
      <c r="G161" s="149"/>
      <c r="H161" s="149"/>
      <c r="I161" s="149"/>
      <c r="J161" s="149"/>
      <c r="K161" s="150"/>
    </row>
    <row r="162" spans="1:11" ht="12.75">
      <c r="A162" s="1" t="s">
        <v>238</v>
      </c>
      <c r="B162" s="36">
        <f>B58/B159</f>
        <v>1.0436316648376724</v>
      </c>
      <c r="C162" s="2" t="s">
        <v>218</v>
      </c>
      <c r="D162" s="22">
        <f t="shared" si="1"/>
        <v>1.0436316648376724</v>
      </c>
      <c r="E162" s="2" t="s">
        <v>218</v>
      </c>
      <c r="F162" s="148" t="s">
        <v>238</v>
      </c>
      <c r="G162" s="149"/>
      <c r="H162" s="149"/>
      <c r="I162" s="149"/>
      <c r="J162" s="149"/>
      <c r="K162" s="150"/>
    </row>
    <row r="163" spans="1:11" ht="12.75">
      <c r="A163" s="1" t="s">
        <v>239</v>
      </c>
      <c r="B163" s="36">
        <f>43.68*((B162)^4)</f>
        <v>51.81692298355611</v>
      </c>
      <c r="C163" s="2" t="s">
        <v>218</v>
      </c>
      <c r="D163" s="22">
        <f t="shared" si="1"/>
        <v>51.81692298355611</v>
      </c>
      <c r="E163" s="2" t="s">
        <v>218</v>
      </c>
      <c r="F163" s="148" t="s">
        <v>240</v>
      </c>
      <c r="G163" s="149"/>
      <c r="H163" s="149"/>
      <c r="I163" s="149"/>
      <c r="J163" s="149"/>
      <c r="K163" s="150"/>
    </row>
    <row r="164" spans="1:11" ht="12.75">
      <c r="A164" s="1" t="s">
        <v>241</v>
      </c>
      <c r="B164" s="36">
        <f>0.333333333333333+(B160/12)</f>
        <v>0.44816666666666666</v>
      </c>
      <c r="C164" s="2" t="s">
        <v>218</v>
      </c>
      <c r="D164" s="22">
        <f t="shared" si="1"/>
        <v>0.44816666666666666</v>
      </c>
      <c r="E164" s="2" t="s">
        <v>218</v>
      </c>
      <c r="F164" s="148" t="s">
        <v>242</v>
      </c>
      <c r="G164" s="149"/>
      <c r="H164" s="149"/>
      <c r="I164" s="149"/>
      <c r="J164" s="149"/>
      <c r="K164" s="150"/>
    </row>
    <row r="165" spans="1:11" ht="12.75">
      <c r="A165" s="1" t="s">
        <v>243</v>
      </c>
      <c r="B165" s="36">
        <f>(0.119047619047619)+(17*B160/336)</f>
        <v>0.1887678571428571</v>
      </c>
      <c r="C165" s="2" t="s">
        <v>218</v>
      </c>
      <c r="D165" s="22">
        <f t="shared" si="1"/>
        <v>0.1887678571428571</v>
      </c>
      <c r="E165" s="2" t="s">
        <v>218</v>
      </c>
      <c r="F165" s="148" t="s">
        <v>244</v>
      </c>
      <c r="G165" s="149"/>
      <c r="H165" s="149"/>
      <c r="I165" s="149"/>
      <c r="J165" s="149"/>
      <c r="K165" s="150"/>
    </row>
    <row r="166" spans="1:11" ht="12.75">
      <c r="A166" s="1" t="s">
        <v>245</v>
      </c>
      <c r="B166" s="36">
        <f>(0.00476190476190476)+(B160/360)</f>
        <v>0.008589682539682538</v>
      </c>
      <c r="C166" s="2" t="s">
        <v>218</v>
      </c>
      <c r="D166" s="22">
        <f t="shared" si="1"/>
        <v>0.008589682539682538</v>
      </c>
      <c r="E166" s="2" t="s">
        <v>218</v>
      </c>
      <c r="F166" s="148" t="s">
        <v>246</v>
      </c>
      <c r="G166" s="149"/>
      <c r="H166" s="149"/>
      <c r="I166" s="149"/>
      <c r="J166" s="149"/>
      <c r="K166" s="150"/>
    </row>
    <row r="167" spans="1:11" ht="12.75">
      <c r="A167" s="1" t="s">
        <v>247</v>
      </c>
      <c r="B167" s="36">
        <f>(0.0305555555555556)+(59*B160/5040)+((1+(3*B160))/B163)</f>
        <v>0.1457665047147861</v>
      </c>
      <c r="C167" s="2" t="s">
        <v>218</v>
      </c>
      <c r="D167" s="22">
        <f t="shared" si="1"/>
        <v>0.1457665047147861</v>
      </c>
      <c r="E167" s="2" t="s">
        <v>218</v>
      </c>
      <c r="F167" s="148" t="s">
        <v>248</v>
      </c>
      <c r="G167" s="149"/>
      <c r="H167" s="149"/>
      <c r="I167" s="149"/>
      <c r="J167" s="149"/>
      <c r="K167" s="150"/>
    </row>
    <row r="168" spans="1:11" ht="12.75">
      <c r="A168" s="1" t="s">
        <v>249</v>
      </c>
      <c r="B168" s="36">
        <f>(0.0111111111111111)+(5*B160/1008)-(((1+B160)^3)/B163)</f>
        <v>-0.24156944727993088</v>
      </c>
      <c r="C168" s="2" t="s">
        <v>218</v>
      </c>
      <c r="D168" s="22">
        <f t="shared" si="1"/>
        <v>-0.24156944727993088</v>
      </c>
      <c r="E168" s="2" t="s">
        <v>218</v>
      </c>
      <c r="F168" s="148" t="s">
        <v>250</v>
      </c>
      <c r="G168" s="149"/>
      <c r="H168" s="149"/>
      <c r="I168" s="149"/>
      <c r="J168" s="149"/>
      <c r="K168" s="150"/>
    </row>
    <row r="169" spans="1:11" ht="12.75">
      <c r="A169" s="1" t="s">
        <v>251</v>
      </c>
      <c r="B169" s="36">
        <f>(0.00833333333333333)+(17*B160/5040)+(1/B163)</f>
        <v>0.03228006364983991</v>
      </c>
      <c r="C169" s="2" t="s">
        <v>218</v>
      </c>
      <c r="D169" s="22">
        <f t="shared" si="1"/>
        <v>0.03228006364983991</v>
      </c>
      <c r="E169" s="2" t="s">
        <v>218</v>
      </c>
      <c r="F169" s="148" t="s">
        <v>252</v>
      </c>
      <c r="G169" s="149"/>
      <c r="H169" s="149"/>
      <c r="I169" s="149"/>
      <c r="J169" s="149"/>
      <c r="K169" s="150"/>
    </row>
    <row r="170" spans="1:11" ht="12.75">
      <c r="A170" s="1" t="s">
        <v>253</v>
      </c>
      <c r="B170" s="36">
        <f>(0.0775613275613276)+(51*B160/1232)+((8.57142857142857)+(225*B160/14)+(75*(B160^2)/7)+(5*(B160^3)/2))/B163</f>
        <v>1.2463017806122316</v>
      </c>
      <c r="C170" s="2" t="s">
        <v>218</v>
      </c>
      <c r="D170" s="22">
        <f t="shared" si="1"/>
        <v>1.2463017806122316</v>
      </c>
      <c r="E170" s="2" t="s">
        <v>218</v>
      </c>
      <c r="F170" s="148" t="s">
        <v>254</v>
      </c>
      <c r="G170" s="149"/>
      <c r="H170" s="149"/>
      <c r="I170" s="149"/>
      <c r="J170" s="149"/>
      <c r="K170" s="150"/>
    </row>
    <row r="171" spans="1:11" ht="12.75">
      <c r="A171" s="1" t="s">
        <v>255</v>
      </c>
      <c r="B171" s="36">
        <f>(0.00447330447330447)+(128*B160/45045)+((0.857142857142857+15*B160/7)+((12*(B160^2))/7)+((5*(B160^3))/11))/B163</f>
        <v>0.16769261831657953</v>
      </c>
      <c r="C171" s="2" t="s">
        <v>218</v>
      </c>
      <c r="D171" s="22">
        <f t="shared" si="1"/>
        <v>0.16769261831657953</v>
      </c>
      <c r="E171" s="2" t="s">
        <v>218</v>
      </c>
      <c r="F171" s="148" t="s">
        <v>256</v>
      </c>
      <c r="G171" s="149"/>
      <c r="H171" s="149"/>
      <c r="I171" s="149"/>
      <c r="J171" s="149"/>
      <c r="K171" s="150"/>
    </row>
    <row r="172" spans="1:11" ht="12.75">
      <c r="A172" s="1" t="s">
        <v>257</v>
      </c>
      <c r="B172" s="36">
        <f>(533/30240)+(653*B160/73920)+((0.5)+(33*B160/14)+(39*(B160^2)/28)+(25*(B160^3)/84))/B163</f>
        <v>0.16820498074850831</v>
      </c>
      <c r="C172" s="2" t="s">
        <v>218</v>
      </c>
      <c r="D172" s="22">
        <f t="shared" si="1"/>
        <v>0.16820498074850831</v>
      </c>
      <c r="E172" s="2" t="s">
        <v>218</v>
      </c>
      <c r="F172" s="148" t="s">
        <v>258</v>
      </c>
      <c r="G172" s="149"/>
      <c r="H172" s="149"/>
      <c r="I172" s="149"/>
      <c r="J172" s="149"/>
      <c r="K172" s="150"/>
    </row>
    <row r="173" spans="1:11" ht="12.75">
      <c r="A173" s="1" t="s">
        <v>259</v>
      </c>
      <c r="B173" s="36">
        <f>(0.00767195767195767)+(3*B160/704)-((0.5+33*B160/14)+(81*(B160^2)/28)+(13*(B160^3)/12))/B163</f>
        <v>-0.21950832317390104</v>
      </c>
      <c r="C173" s="2" t="s">
        <v>218</v>
      </c>
      <c r="D173" s="22">
        <f t="shared" si="1"/>
        <v>-0.21950832317390104</v>
      </c>
      <c r="E173" s="2" t="s">
        <v>218</v>
      </c>
      <c r="F173" s="148" t="s">
        <v>260</v>
      </c>
      <c r="G173" s="149"/>
      <c r="H173" s="149"/>
      <c r="I173" s="149"/>
      <c r="J173" s="149"/>
      <c r="K173" s="150"/>
    </row>
    <row r="174" spans="1:11" ht="12.75">
      <c r="A174" s="1" t="s">
        <v>261</v>
      </c>
      <c r="B174" s="36">
        <f>(0.00512566137566138)+(1763*B160/665280)+((0.5)+(6*B160/7)+(15*(B160^2)/28)+(5*(B160^3)/42))/B163</f>
        <v>0.06686476269608589</v>
      </c>
      <c r="C174" s="2" t="s">
        <v>218</v>
      </c>
      <c r="D174" s="22">
        <f t="shared" si="1"/>
        <v>0.06686476269608589</v>
      </c>
      <c r="E174" s="2" t="s">
        <v>218</v>
      </c>
      <c r="F174" s="148" t="s">
        <v>262</v>
      </c>
      <c r="G174" s="149"/>
      <c r="H174" s="149"/>
      <c r="I174" s="149"/>
      <c r="J174" s="149"/>
      <c r="K174" s="150"/>
    </row>
    <row r="175" spans="1:11" ht="12.75">
      <c r="A175" s="1" t="s">
        <v>263</v>
      </c>
      <c r="B175" s="36">
        <f>(0.000341880341880342)+(71*B160/300300)+((0.228571428571429)+(18*B160/35)+(156*(B160^2)/385)+(6*(B160^3)/55))/B163</f>
        <v>0.03911321238872653</v>
      </c>
      <c r="C175" s="2" t="s">
        <v>218</v>
      </c>
      <c r="D175" s="22">
        <f t="shared" si="1"/>
        <v>0.03911321238872653</v>
      </c>
      <c r="E175" s="2" t="s">
        <v>218</v>
      </c>
      <c r="F175" s="148" t="s">
        <v>264</v>
      </c>
      <c r="G175" s="149"/>
      <c r="H175" s="149"/>
      <c r="I175" s="149"/>
      <c r="J175" s="149"/>
      <c r="K175" s="150"/>
    </row>
    <row r="176" spans="1:11" ht="12.75">
      <c r="A176" s="1" t="s">
        <v>265</v>
      </c>
      <c r="B176" s="36">
        <f>(761/831600)+(937*B160/1663200)+((0.0285714285714286)+(6*B160/35)+(11*(B160^2)/70)+(3*(B160^3)/70))/B163</f>
        <v>0.014724598899281273</v>
      </c>
      <c r="C176" s="2" t="s">
        <v>218</v>
      </c>
      <c r="D176" s="22">
        <f t="shared" si="1"/>
        <v>0.014724598899281273</v>
      </c>
      <c r="E176" s="2" t="s">
        <v>218</v>
      </c>
      <c r="F176" s="148" t="s">
        <v>266</v>
      </c>
      <c r="G176" s="149"/>
      <c r="H176" s="149"/>
      <c r="I176" s="149"/>
      <c r="J176" s="149"/>
      <c r="K176" s="150"/>
    </row>
    <row r="177" spans="1:11" ht="12.75">
      <c r="A177" s="1" t="s">
        <v>267</v>
      </c>
      <c r="B177" s="36">
        <f>(197/415800)+(103*B160/332640)-((1/35)+(6*B160/35)+(17*(B160^2)/70)+((B160^3)/10))/B163</f>
        <v>-0.01815939389637697</v>
      </c>
      <c r="C177" s="2" t="s">
        <v>218</v>
      </c>
      <c r="D177" s="22">
        <f t="shared" si="1"/>
        <v>-0.01815939389637697</v>
      </c>
      <c r="E177" s="2" t="s">
        <v>218</v>
      </c>
      <c r="F177" s="148" t="s">
        <v>268</v>
      </c>
      <c r="G177" s="149"/>
      <c r="H177" s="149"/>
      <c r="I177" s="149"/>
      <c r="J177" s="149"/>
      <c r="K177" s="150"/>
    </row>
    <row r="178" spans="1:11" ht="12.75">
      <c r="A178" s="1" t="s">
        <v>269</v>
      </c>
      <c r="B178" s="36">
        <f>(233/831600)+(97*B160/554400)+((0.0285714285714286)+(3*B160/35)+((B160^2)/14)+(2*(B160^3)/105))/B163</f>
        <v>0.0069315724189885014</v>
      </c>
      <c r="C178" s="2" t="s">
        <v>218</v>
      </c>
      <c r="D178" s="22">
        <f t="shared" si="1"/>
        <v>0.0069315724189885014</v>
      </c>
      <c r="E178" s="2" t="s">
        <v>218</v>
      </c>
      <c r="F178" s="148" t="s">
        <v>270</v>
      </c>
      <c r="G178" s="149"/>
      <c r="H178" s="149"/>
      <c r="I178" s="149"/>
      <c r="J178" s="149"/>
      <c r="K178" s="150"/>
    </row>
    <row r="179" spans="1:11" ht="12.75">
      <c r="A179" s="1" t="s">
        <v>271</v>
      </c>
      <c r="B179" s="36">
        <f>(B164*B170*B175)+(B165*B171*B166)+(B166*B171*B165)-(((B166^2)*B170)+((B171^2)*B164)+((B165^2)*B175))</f>
        <v>0.008302032941374087</v>
      </c>
      <c r="C179" s="2" t="s">
        <v>218</v>
      </c>
      <c r="D179" s="22">
        <f t="shared" si="1"/>
        <v>0.008302032941374087</v>
      </c>
      <c r="E179" s="2" t="s">
        <v>218</v>
      </c>
      <c r="F179" s="148" t="s">
        <v>272</v>
      </c>
      <c r="G179" s="149"/>
      <c r="H179" s="149"/>
      <c r="I179" s="149"/>
      <c r="J179" s="149"/>
      <c r="K179" s="150"/>
    </row>
    <row r="180" spans="1:11" ht="12.75">
      <c r="A180" s="1" t="s">
        <v>273</v>
      </c>
      <c r="B180" s="36">
        <f>((B167*B170*B175)+(B165*B171*B176)+(B166*B171*B172)-((B176*B170*B166)+((B171^2)*B167)+(B175*B165*B172)))/B179</f>
        <v>0.2789002053365978</v>
      </c>
      <c r="C180" s="2" t="s">
        <v>218</v>
      </c>
      <c r="D180" s="22">
        <f t="shared" si="1"/>
        <v>0.2789002053365978</v>
      </c>
      <c r="E180" s="2" t="s">
        <v>218</v>
      </c>
      <c r="F180" s="148" t="s">
        <v>274</v>
      </c>
      <c r="G180" s="149"/>
      <c r="H180" s="149"/>
      <c r="I180" s="149"/>
      <c r="J180" s="149"/>
      <c r="K180" s="150"/>
    </row>
    <row r="181" spans="1:11" ht="12.75">
      <c r="A181" s="1" t="s">
        <v>275</v>
      </c>
      <c r="B181" s="36">
        <f>((B168*B170*B175)+(B165*B171*B177)+(B166*B171*B173)-((B177*B170*B166)+((B171^2)*B168)+(B175*B165*B173)))/B179</f>
        <v>-0.48886131206946126</v>
      </c>
      <c r="C181" s="2" t="s">
        <v>218</v>
      </c>
      <c r="D181" s="22">
        <f t="shared" si="1"/>
        <v>-0.48886131206946126</v>
      </c>
      <c r="E181" s="2" t="s">
        <v>218</v>
      </c>
      <c r="F181" s="148" t="s">
        <v>276</v>
      </c>
      <c r="G181" s="149"/>
      <c r="H181" s="149"/>
      <c r="I181" s="149"/>
      <c r="J181" s="149"/>
      <c r="K181" s="150"/>
    </row>
    <row r="182" spans="1:11" ht="12.75">
      <c r="A182" s="1" t="s">
        <v>277</v>
      </c>
      <c r="B182" s="36">
        <f>((B169*B170*B175)+(B165*B171*B178)+(B166*B171*B174)-((B178*B170*B166)+((B171^2)*B169)+(B175*B165*B174)))/B179</f>
        <v>0.04982565432701563</v>
      </c>
      <c r="C182" s="2" t="s">
        <v>218</v>
      </c>
      <c r="D182" s="22">
        <f t="shared" si="1"/>
        <v>0.04982565432701563</v>
      </c>
      <c r="E182" s="2" t="s">
        <v>218</v>
      </c>
      <c r="F182" s="148" t="s">
        <v>278</v>
      </c>
      <c r="G182" s="149"/>
      <c r="H182" s="149"/>
      <c r="I182" s="149"/>
      <c r="J182" s="149"/>
      <c r="K182" s="150"/>
    </row>
    <row r="183" spans="1:11" ht="12.75">
      <c r="A183" s="1" t="s">
        <v>279</v>
      </c>
      <c r="B183" s="36">
        <f>((B164*B172*B175)+(B167*B171*B166)+(B166*B176*B165)-(((B166^2)*B172)+(B176*B171*B164)+(B175*B167*B165)))/B179</f>
        <v>0.11889609758360904</v>
      </c>
      <c r="C183" s="2" t="s">
        <v>218</v>
      </c>
      <c r="D183" s="22">
        <f t="shared" si="1"/>
        <v>0.11889609758360904</v>
      </c>
      <c r="E183" s="2" t="s">
        <v>218</v>
      </c>
      <c r="F183" s="148" t="s">
        <v>280</v>
      </c>
      <c r="G183" s="149"/>
      <c r="H183" s="149"/>
      <c r="I183" s="149"/>
      <c r="J183" s="149"/>
      <c r="K183" s="150"/>
    </row>
    <row r="184" spans="1:11" ht="12.75">
      <c r="A184" s="1" t="s">
        <v>281</v>
      </c>
      <c r="B184" s="36">
        <f>((B164*B173*B175)+(B168*B171*B166)+(B166*B177*B165)-(((B166^2)*B173)+(B177*B171*B164)+(B175*B168*B165)))/B179</f>
        <v>-0.12776220557837872</v>
      </c>
      <c r="C184" s="2" t="s">
        <v>218</v>
      </c>
      <c r="D184" s="22">
        <f t="shared" si="1"/>
        <v>-0.12776220557837872</v>
      </c>
      <c r="E184" s="2" t="s">
        <v>218</v>
      </c>
      <c r="F184" s="148" t="s">
        <v>282</v>
      </c>
      <c r="G184" s="149"/>
      <c r="H184" s="149"/>
      <c r="I184" s="149"/>
      <c r="J184" s="149"/>
      <c r="K184" s="150"/>
    </row>
    <row r="185" spans="1:11" ht="12.75">
      <c r="A185" s="1" t="s">
        <v>283</v>
      </c>
      <c r="B185" s="36">
        <f>((B164*B174*B175)+(B169*B171*B166)+(B166*B178*B165)-(((B166^2)*B174)+(B178*B171*B164)+(B175*B169*B165)))/B179</f>
        <v>0.05608507662550672</v>
      </c>
      <c r="C185" s="2" t="s">
        <v>218</v>
      </c>
      <c r="D185" s="22">
        <f t="shared" si="1"/>
        <v>0.05608507662550672</v>
      </c>
      <c r="E185" s="2" t="s">
        <v>218</v>
      </c>
      <c r="F185" s="148" t="s">
        <v>284</v>
      </c>
      <c r="G185" s="149"/>
      <c r="H185" s="149"/>
      <c r="I185" s="149"/>
      <c r="J185" s="149"/>
      <c r="K185" s="150"/>
    </row>
    <row r="186" spans="1:11" ht="12.75">
      <c r="A186" s="1" t="s">
        <v>285</v>
      </c>
      <c r="B186" s="36">
        <f>((B164*B170*B176)+(B165*B172*B166)+(B167*B171*B165)-((B166*B170*B167)+(B171*B172*B164)+((B165^2)*B176)))/B179</f>
        <v>-0.19453946049249699</v>
      </c>
      <c r="C186" s="2" t="s">
        <v>218</v>
      </c>
      <c r="D186" s="22">
        <f t="shared" si="1"/>
        <v>-0.19453946049249699</v>
      </c>
      <c r="E186" s="2" t="s">
        <v>218</v>
      </c>
      <c r="F186" s="148" t="s">
        <v>286</v>
      </c>
      <c r="G186" s="149"/>
      <c r="H186" s="149"/>
      <c r="I186" s="149"/>
      <c r="J186" s="149"/>
      <c r="K186" s="150"/>
    </row>
    <row r="187" spans="1:11" ht="12.75">
      <c r="A187" s="1" t="s">
        <v>287</v>
      </c>
      <c r="B187" s="36">
        <f>((B164*B170*B177)+(B165*B173*B166)+(B168*B171*B165)-((B166*B170*B168)+(B171*B173*B164)+((B165^2)*B177)))/B179</f>
        <v>0.1908446762537791</v>
      </c>
      <c r="C187" s="2" t="s">
        <v>218</v>
      </c>
      <c r="D187" s="22">
        <f t="shared" si="1"/>
        <v>0.1908446762537791</v>
      </c>
      <c r="E187" s="2" t="s">
        <v>218</v>
      </c>
      <c r="F187" s="148" t="s">
        <v>288</v>
      </c>
      <c r="G187" s="149"/>
      <c r="H187" s="149"/>
      <c r="I187" s="149"/>
      <c r="J187" s="149"/>
      <c r="K187" s="150"/>
    </row>
    <row r="188" spans="1:11" ht="12.75">
      <c r="A188" s="1" t="s">
        <v>289</v>
      </c>
      <c r="B188" s="36">
        <f>((B164*B170*B178)+(B165*B174*B166)+(B169*B171*B165)-((B166*B170*B169)+(B171*B174*B164)+((B165^2)*B178)))/B179</f>
        <v>-0.07418126266371351</v>
      </c>
      <c r="C188" s="2" t="s">
        <v>218</v>
      </c>
      <c r="D188" s="22">
        <f t="shared" si="1"/>
        <v>-0.07418126266371351</v>
      </c>
      <c r="E188" s="2" t="s">
        <v>218</v>
      </c>
      <c r="F188" s="148" t="s">
        <v>290</v>
      </c>
      <c r="G188" s="149"/>
      <c r="H188" s="149"/>
      <c r="I188" s="149"/>
      <c r="J188" s="149"/>
      <c r="K188" s="150"/>
    </row>
    <row r="189" spans="1:11" ht="12.75">
      <c r="A189" s="1" t="s">
        <v>291</v>
      </c>
      <c r="B189" s="36">
        <f>-(1)*((B163/4)^0.25)</f>
        <v>-1.8971554036272875</v>
      </c>
      <c r="C189" s="2" t="s">
        <v>218</v>
      </c>
      <c r="D189" s="22">
        <f t="shared" si="1"/>
        <v>-1.8971554036272875</v>
      </c>
      <c r="E189" s="2" t="s">
        <v>218</v>
      </c>
      <c r="F189" s="148" t="s">
        <v>292</v>
      </c>
      <c r="G189" s="149"/>
      <c r="H189" s="149"/>
      <c r="I189" s="149"/>
      <c r="J189" s="149"/>
      <c r="K189" s="150"/>
    </row>
    <row r="190" spans="1:11" ht="12.75">
      <c r="A190" s="1" t="s">
        <v>293</v>
      </c>
      <c r="B190" s="36">
        <f>B183-B180-(0.416666666666667)+(B180*B189)</f>
        <v>-1.1057878060467423</v>
      </c>
      <c r="C190" s="2" t="s">
        <v>218</v>
      </c>
      <c r="D190" s="22">
        <f t="shared" si="1"/>
        <v>-1.1057878060467423</v>
      </c>
      <c r="E190" s="2" t="s">
        <v>218</v>
      </c>
      <c r="F190" s="148" t="s">
        <v>294</v>
      </c>
      <c r="G190" s="149"/>
      <c r="H190" s="149"/>
      <c r="I190" s="149"/>
      <c r="J190" s="149"/>
      <c r="K190" s="150"/>
    </row>
    <row r="191" spans="1:11" ht="12.75">
      <c r="A191" s="1" t="s">
        <v>295</v>
      </c>
      <c r="B191" s="36">
        <f>B185-B182-(0.0833333333333333)+(B182*B189)</f>
        <v>-0.17160092038060526</v>
      </c>
      <c r="C191" s="2" t="s">
        <v>218</v>
      </c>
      <c r="D191" s="22">
        <f t="shared" si="1"/>
        <v>-0.17160092038060526</v>
      </c>
      <c r="E191" s="2" t="s">
        <v>218</v>
      </c>
      <c r="F191" s="148" t="s">
        <v>296</v>
      </c>
      <c r="G191" s="149"/>
      <c r="H191" s="149"/>
      <c r="I191" s="149"/>
      <c r="J191" s="149"/>
      <c r="K191" s="150"/>
    </row>
    <row r="192" spans="1:11" ht="12.75">
      <c r="A192" s="1" t="s">
        <v>297</v>
      </c>
      <c r="B192" s="36">
        <f>(-1)*((B163/4)^0.5)</f>
        <v>-3.5991986255122166</v>
      </c>
      <c r="C192" s="2" t="s">
        <v>218</v>
      </c>
      <c r="D192" s="22">
        <f t="shared" si="1"/>
        <v>-3.5991986255122166</v>
      </c>
      <c r="E192" s="2" t="s">
        <v>218</v>
      </c>
      <c r="F192" s="148" t="s">
        <v>298</v>
      </c>
      <c r="G192" s="149"/>
      <c r="H192" s="149"/>
      <c r="I192" s="149"/>
      <c r="J192" s="149"/>
      <c r="K192" s="150"/>
    </row>
    <row r="193" spans="1:11" ht="12.75">
      <c r="A193" s="1" t="s">
        <v>299</v>
      </c>
      <c r="B193" s="36">
        <f>(-1)*((B163/4)^(3/4))</f>
        <v>-6.828239121118407</v>
      </c>
      <c r="C193" s="2" t="s">
        <v>218</v>
      </c>
      <c r="D193" s="22">
        <f t="shared" si="1"/>
        <v>-6.828239121118407</v>
      </c>
      <c r="E193" s="2" t="s">
        <v>218</v>
      </c>
      <c r="F193" s="148" t="s">
        <v>300</v>
      </c>
      <c r="G193" s="149"/>
      <c r="H193" s="149"/>
      <c r="I193" s="149"/>
      <c r="J193" s="149"/>
      <c r="K193" s="150"/>
    </row>
    <row r="194" spans="1:11" ht="12.75">
      <c r="A194" s="1" t="s">
        <v>301</v>
      </c>
      <c r="B194" s="36">
        <f>(3*B160/2)-(B180*B193)</f>
        <v>3.971397292967314</v>
      </c>
      <c r="C194" s="2" t="s">
        <v>218</v>
      </c>
      <c r="D194" s="22">
        <f t="shared" si="1"/>
        <v>3.971397292967314</v>
      </c>
      <c r="E194" s="2" t="s">
        <v>218</v>
      </c>
      <c r="F194" s="148" t="s">
        <v>302</v>
      </c>
      <c r="G194" s="149"/>
      <c r="H194" s="149"/>
      <c r="I194" s="149"/>
      <c r="J194" s="149"/>
      <c r="K194" s="150"/>
    </row>
    <row r="195" spans="1:11" ht="12.75">
      <c r="A195" s="1" t="s">
        <v>303</v>
      </c>
      <c r="B195" s="36">
        <f>0.5-(B182*B193)</f>
        <v>0.8402214821110507</v>
      </c>
      <c r="C195" s="2" t="s">
        <v>218</v>
      </c>
      <c r="D195" s="22">
        <f t="shared" si="1"/>
        <v>0.8402214821110507</v>
      </c>
      <c r="E195" s="2" t="s">
        <v>218</v>
      </c>
      <c r="F195" s="148" t="s">
        <v>304</v>
      </c>
      <c r="G195" s="149"/>
      <c r="H195" s="149"/>
      <c r="I195" s="149"/>
      <c r="J195" s="149"/>
      <c r="K195" s="150"/>
    </row>
    <row r="196" spans="1:11" ht="12.75">
      <c r="A196" s="1" t="s">
        <v>305</v>
      </c>
      <c r="B196" s="36">
        <f>(0.5*B189*B195)+(B191*B194*B192)-((0.5*B193*B191)+(B195*B190*B192))</f>
        <v>-2.2740834511232855</v>
      </c>
      <c r="C196" s="2" t="s">
        <v>218</v>
      </c>
      <c r="D196" s="22">
        <f t="shared" si="1"/>
        <v>-2.2740834511232855</v>
      </c>
      <c r="E196" s="2" t="s">
        <v>218</v>
      </c>
      <c r="F196" s="148" t="s">
        <v>306</v>
      </c>
      <c r="G196" s="149"/>
      <c r="H196" s="149"/>
      <c r="I196" s="149"/>
      <c r="J196" s="149"/>
      <c r="K196" s="150"/>
    </row>
    <row r="197" spans="1:11" ht="12.75">
      <c r="A197" s="1" t="s">
        <v>307</v>
      </c>
      <c r="B197" s="36">
        <f>0.0833333333333333+B181-B184-(B181*B189)</f>
        <v>-1.2052116529746533</v>
      </c>
      <c r="C197" s="2" t="s">
        <v>218</v>
      </c>
      <c r="D197" s="22">
        <f t="shared" si="1"/>
        <v>-1.2052116529746533</v>
      </c>
      <c r="E197" s="2" t="s">
        <v>218</v>
      </c>
      <c r="F197" s="148" t="s">
        <v>308</v>
      </c>
      <c r="G197" s="149"/>
      <c r="H197" s="149"/>
      <c r="I197" s="149"/>
      <c r="J197" s="149"/>
      <c r="K197" s="150"/>
    </row>
    <row r="198" spans="1:11" ht="14.25" customHeight="1">
      <c r="A198" s="1" t="s">
        <v>309</v>
      </c>
      <c r="B198" s="36">
        <f>(-1)*B181*((B163/4)^0.75)</f>
        <v>3.338061935873969</v>
      </c>
      <c r="C198" s="2" t="s">
        <v>218</v>
      </c>
      <c r="D198" s="22">
        <f t="shared" si="1"/>
        <v>3.338061935873969</v>
      </c>
      <c r="E198" s="2" t="s">
        <v>218</v>
      </c>
      <c r="F198" s="148" t="s">
        <v>310</v>
      </c>
      <c r="G198" s="149"/>
      <c r="H198" s="149"/>
      <c r="I198" s="149"/>
      <c r="J198" s="149"/>
      <c r="K198" s="150"/>
    </row>
    <row r="199" spans="1:11" ht="12.75">
      <c r="A199" s="1" t="s">
        <v>311</v>
      </c>
      <c r="B199" s="36">
        <f>((B191*B198*B192)-(B195*B197*B192))/B196</f>
        <v>0.6961205955354398</v>
      </c>
      <c r="C199" s="2" t="s">
        <v>218</v>
      </c>
      <c r="D199" s="22">
        <f t="shared" si="1"/>
        <v>0.6961205955354398</v>
      </c>
      <c r="E199" s="2" t="s">
        <v>218</v>
      </c>
      <c r="F199" s="148" t="s">
        <v>312</v>
      </c>
      <c r="G199" s="149"/>
      <c r="H199" s="149"/>
      <c r="I199" s="149"/>
      <c r="J199" s="149"/>
      <c r="K199" s="150"/>
    </row>
    <row r="200" spans="1:11" ht="12.75">
      <c r="A200" s="1" t="s">
        <v>313</v>
      </c>
      <c r="B200" s="36">
        <f>((0.5*B189*B198)+(B197*B194*B192)-((0.5*B193*B197)+(B198*B190*B192)))/B196</f>
        <v>1.468440153165248</v>
      </c>
      <c r="C200" s="2" t="s">
        <v>218</v>
      </c>
      <c r="D200" s="22">
        <f t="shared" si="1"/>
        <v>1.468440153165248</v>
      </c>
      <c r="E200" s="2" t="s">
        <v>218</v>
      </c>
      <c r="F200" s="148" t="s">
        <v>314</v>
      </c>
      <c r="G200" s="149"/>
      <c r="H200" s="149"/>
      <c r="I200" s="149"/>
      <c r="J200" s="149"/>
      <c r="K200" s="150"/>
    </row>
    <row r="201" spans="1:11" ht="12.75">
      <c r="A201" s="1" t="s">
        <v>315</v>
      </c>
      <c r="B201" s="36">
        <f>(B180*B199)+B181+(B182*B200)</f>
        <v>-0.22154714356407085</v>
      </c>
      <c r="C201" s="2" t="s">
        <v>218</v>
      </c>
      <c r="D201" s="22">
        <f t="shared" si="1"/>
        <v>-0.22154714356407085</v>
      </c>
      <c r="E201" s="2" t="s">
        <v>218</v>
      </c>
      <c r="F201" s="148" t="s">
        <v>316</v>
      </c>
      <c r="G201" s="149"/>
      <c r="H201" s="149"/>
      <c r="I201" s="149"/>
      <c r="J201" s="149"/>
      <c r="K201" s="150"/>
    </row>
    <row r="202" spans="1:11" ht="12.75">
      <c r="A202" s="1" t="s">
        <v>317</v>
      </c>
      <c r="B202" s="36">
        <f>(B183*B199)+B184+(B185*B200)</f>
        <v>0.03736139518860673</v>
      </c>
      <c r="C202" s="2" t="s">
        <v>218</v>
      </c>
      <c r="D202" s="22">
        <f t="shared" si="1"/>
        <v>0.03736139518860673</v>
      </c>
      <c r="E202" s="2" t="s">
        <v>218</v>
      </c>
      <c r="F202" s="148" t="s">
        <v>318</v>
      </c>
      <c r="G202" s="149"/>
      <c r="H202" s="149"/>
      <c r="I202" s="149"/>
      <c r="J202" s="149"/>
      <c r="K202" s="150"/>
    </row>
    <row r="203" spans="1:11" ht="12.75">
      <c r="A203" s="1" t="s">
        <v>319</v>
      </c>
      <c r="B203" s="36">
        <f>(B186*B199)+B187+(B188*B200)</f>
        <v>-0.05350899354729602</v>
      </c>
      <c r="C203" s="2" t="s">
        <v>218</v>
      </c>
      <c r="D203" s="22">
        <f t="shared" si="1"/>
        <v>-0.05350899354729602</v>
      </c>
      <c r="E203" s="2" t="s">
        <v>218</v>
      </c>
      <c r="F203" s="148" t="s">
        <v>320</v>
      </c>
      <c r="G203" s="149"/>
      <c r="H203" s="149"/>
      <c r="I203" s="149"/>
      <c r="J203" s="149"/>
      <c r="K203" s="150"/>
    </row>
    <row r="204" spans="1:11" ht="12.75">
      <c r="A204" s="1" t="s">
        <v>321</v>
      </c>
      <c r="B204" s="36">
        <f>0.25+(B200/12)+(B199/4)-(B203/5)-(3*B202/2)-B201</f>
        <v>0.7226070111382505</v>
      </c>
      <c r="C204" s="2" t="s">
        <v>218</v>
      </c>
      <c r="D204" s="22">
        <f t="shared" si="1"/>
        <v>0.7226070111382505</v>
      </c>
      <c r="E204" s="2" t="s">
        <v>218</v>
      </c>
      <c r="F204" s="148" t="s">
        <v>322</v>
      </c>
      <c r="G204" s="149"/>
      <c r="H204" s="149"/>
      <c r="I204" s="149"/>
      <c r="J204" s="149"/>
      <c r="K204" s="150"/>
    </row>
    <row r="205" spans="1:11" ht="12.75">
      <c r="A205" s="1" t="s">
        <v>323</v>
      </c>
      <c r="B205" s="36">
        <f>B201*(0.5+B160/6)+(B202*(0.25+(11*B160/84)))+(B203*((0.0142857142857143)+(B160/105)))</f>
        <v>-0.1470399202719367</v>
      </c>
      <c r="C205" s="2" t="s">
        <v>218</v>
      </c>
      <c r="D205" s="22">
        <f t="shared" si="1"/>
        <v>-0.1470399202719367</v>
      </c>
      <c r="E205" s="2" t="s">
        <v>218</v>
      </c>
      <c r="F205" s="148" t="s">
        <v>324</v>
      </c>
      <c r="G205" s="149"/>
      <c r="H205" s="149"/>
      <c r="I205" s="149"/>
      <c r="J205" s="149"/>
      <c r="K205" s="150"/>
    </row>
    <row r="206" spans="1:11" ht="12.75">
      <c r="A206" s="1" t="s">
        <v>325</v>
      </c>
      <c r="B206" s="36">
        <f>B205-(B199*((7/120)+(B160/36)+(3*B160/B163)))-(1/40)-(B160/72)-(B200*((1/60)+(B160/120)+(1/B163)))</f>
        <v>-0.3836445084008681</v>
      </c>
      <c r="C206" s="2" t="s">
        <v>218</v>
      </c>
      <c r="D206" s="22">
        <f t="shared" si="1"/>
        <v>-0.3836445084008681</v>
      </c>
      <c r="E206" s="2" t="s">
        <v>218</v>
      </c>
      <c r="F206" s="148" t="s">
        <v>326</v>
      </c>
      <c r="G206" s="149"/>
      <c r="H206" s="149"/>
      <c r="I206" s="149"/>
      <c r="J206" s="149"/>
      <c r="K206" s="150"/>
    </row>
    <row r="207" spans="1:11" ht="12.75">
      <c r="A207" s="1" t="s">
        <v>327</v>
      </c>
      <c r="B207" s="36">
        <f>B204/(((2.73/B163)^0.25)*((1+B160)^3))</f>
        <v>0.11216151411847923</v>
      </c>
      <c r="C207" s="2" t="s">
        <v>218</v>
      </c>
      <c r="D207" s="22">
        <f t="shared" si="1"/>
        <v>0.11216151411847923</v>
      </c>
      <c r="E207" s="2" t="s">
        <v>218</v>
      </c>
      <c r="F207" s="148" t="s">
        <v>328</v>
      </c>
      <c r="G207" s="149"/>
      <c r="H207" s="149"/>
      <c r="I207" s="149"/>
      <c r="J207" s="149"/>
      <c r="K207" s="150"/>
    </row>
    <row r="208" spans="1:11" ht="12.75">
      <c r="A208" s="1" t="s">
        <v>329</v>
      </c>
      <c r="B208" s="36">
        <f>-(1)*B206/(((B163/2.73)^0.25)*(((1+B160)^3)/B163))</f>
        <v>0.7082520036735706</v>
      </c>
      <c r="C208" s="2" t="s">
        <v>218</v>
      </c>
      <c r="D208" s="22">
        <f t="shared" si="1"/>
        <v>0.7082520036735706</v>
      </c>
      <c r="E208" s="2" t="s">
        <v>218</v>
      </c>
      <c r="F208" s="148" t="s">
        <v>330</v>
      </c>
      <c r="G208" s="149"/>
      <c r="H208" s="149"/>
      <c r="I208" s="149"/>
      <c r="J208" s="149"/>
      <c r="K208" s="150"/>
    </row>
    <row r="209" spans="1:11" ht="21.75" customHeight="1">
      <c r="A209" s="10" t="s">
        <v>331</v>
      </c>
      <c r="B209" s="36">
        <f>-(1)*((B181*(0.5+(B160/6)))+(B184*(0.25+(11*B160/84)))+(B187*((1/70)+(B160/105)))-((1/40)+(B160/72)))/(((B163/2.73)^0.25)*(((1+B160)^3)/B163))</f>
        <v>0.8318766884234372</v>
      </c>
      <c r="C209" s="13" t="s">
        <v>218</v>
      </c>
      <c r="D209" s="22">
        <f t="shared" si="1"/>
        <v>0.8318766884234372</v>
      </c>
      <c r="E209" s="13" t="s">
        <v>218</v>
      </c>
      <c r="F209" s="174" t="s">
        <v>332</v>
      </c>
      <c r="G209" s="175"/>
      <c r="H209" s="175"/>
      <c r="I209" s="175"/>
      <c r="J209" s="175"/>
      <c r="K209" s="176"/>
    </row>
    <row r="210" spans="1:11" ht="12.75">
      <c r="A210" s="1" t="s">
        <v>333</v>
      </c>
      <c r="B210" s="36">
        <f>(0.25-(B187/5)-(3*B184/2)-B181)/(((2.73/B163)^0.25)*((1+B160)^3))</f>
        <v>0.13850643573854624</v>
      </c>
      <c r="C210" s="13" t="s">
        <v>218</v>
      </c>
      <c r="D210" s="22">
        <f t="shared" si="1"/>
        <v>0.13850643573854624</v>
      </c>
      <c r="E210" s="13" t="s">
        <v>218</v>
      </c>
      <c r="F210" s="148" t="s">
        <v>334</v>
      </c>
      <c r="G210" s="149"/>
      <c r="H210" s="149"/>
      <c r="I210" s="149"/>
      <c r="J210" s="149"/>
      <c r="K210" s="150"/>
    </row>
    <row r="211" spans="1:11" ht="12.75">
      <c r="A211" s="1" t="s">
        <v>335</v>
      </c>
      <c r="B211" s="36">
        <f>IF((B199/(1+B160))&lt;1,1,(B199/(1+B160)))</f>
        <v>1</v>
      </c>
      <c r="C211" s="13" t="s">
        <v>218</v>
      </c>
      <c r="D211" s="22">
        <f t="shared" si="1"/>
        <v>1</v>
      </c>
      <c r="E211" s="13" t="s">
        <v>218</v>
      </c>
      <c r="F211" s="148" t="s">
        <v>336</v>
      </c>
      <c r="G211" s="149"/>
      <c r="H211" s="149"/>
      <c r="I211" s="149"/>
      <c r="J211" s="149"/>
      <c r="K211" s="150"/>
    </row>
    <row r="212" spans="1:11" ht="12.75">
      <c r="A212" s="1" t="s">
        <v>5</v>
      </c>
      <c r="B212" s="36">
        <f>((B213^2)*(1+8.55246*(LOG(B213,10)))-1)/((1.0472+(1.9448*(B213^2)))*(B213-1))</f>
        <v>1.749389964807307</v>
      </c>
      <c r="C212" s="2" t="s">
        <v>218</v>
      </c>
      <c r="D212" s="22">
        <f t="shared" si="1"/>
        <v>1.749389964807307</v>
      </c>
      <c r="E212" s="2" t="s">
        <v>218</v>
      </c>
      <c r="F212" s="148" t="s">
        <v>337</v>
      </c>
      <c r="G212" s="149"/>
      <c r="H212" s="149"/>
      <c r="I212" s="149"/>
      <c r="J212" s="149"/>
      <c r="K212" s="150"/>
    </row>
    <row r="213" spans="1:11" ht="12.75">
      <c r="A213" s="1" t="s">
        <v>338</v>
      </c>
      <c r="B213" s="36">
        <f>+B57/B56</f>
        <v>1.411111111111111</v>
      </c>
      <c r="C213" s="2" t="s">
        <v>218</v>
      </c>
      <c r="D213" s="22">
        <f t="shared" si="1"/>
        <v>1.411111111111111</v>
      </c>
      <c r="E213" s="2" t="s">
        <v>218</v>
      </c>
      <c r="F213" s="148" t="s">
        <v>339</v>
      </c>
      <c r="G213" s="149"/>
      <c r="H213" s="149"/>
      <c r="I213" s="149"/>
      <c r="J213" s="149"/>
      <c r="K213" s="150"/>
    </row>
    <row r="214" spans="1:11" ht="12.75">
      <c r="A214" s="1" t="s">
        <v>340</v>
      </c>
      <c r="B214" s="36">
        <f>((B213^2)*(1+8.55246*(LOG(B213,10)))-1)/(1.36136*((B213^2)-1)*(B213-1))</f>
        <v>6.37794109889393</v>
      </c>
      <c r="C214" s="2" t="s">
        <v>218</v>
      </c>
      <c r="D214" s="22">
        <f t="shared" si="1"/>
        <v>6.37794109889393</v>
      </c>
      <c r="E214" s="2" t="s">
        <v>218</v>
      </c>
      <c r="F214" s="148" t="s">
        <v>341</v>
      </c>
      <c r="G214" s="149"/>
      <c r="H214" s="149"/>
      <c r="I214" s="149"/>
      <c r="J214" s="149"/>
      <c r="K214" s="150"/>
    </row>
    <row r="215" spans="1:11" ht="12.75">
      <c r="A215" s="1" t="s">
        <v>342</v>
      </c>
      <c r="B215" s="36">
        <f>(1/(B213-1))*(0.66845+(5.7169*(B213^2)*(LOG(B213,10))/((B213^2)-1)))</f>
        <v>5.803939293783921</v>
      </c>
      <c r="C215" s="2" t="s">
        <v>218</v>
      </c>
      <c r="D215" s="22">
        <f t="shared" si="1"/>
        <v>5.803939293783921</v>
      </c>
      <c r="E215" s="2" t="s">
        <v>218</v>
      </c>
      <c r="F215" s="148" t="s">
        <v>343</v>
      </c>
      <c r="G215" s="149"/>
      <c r="H215" s="149"/>
      <c r="I215" s="149"/>
      <c r="J215" s="149"/>
      <c r="K215" s="150"/>
    </row>
    <row r="216" spans="1:11" ht="12.75">
      <c r="A216" s="1" t="s">
        <v>344</v>
      </c>
      <c r="B216" s="36">
        <f>((B213^2)+1)/((B213^2)-1)</f>
        <v>3.0176858886536313</v>
      </c>
      <c r="C216" s="2" t="s">
        <v>218</v>
      </c>
      <c r="D216" s="22">
        <f t="shared" si="1"/>
        <v>3.0176858886536313</v>
      </c>
      <c r="E216" s="2" t="s">
        <v>218</v>
      </c>
      <c r="F216" s="148" t="s">
        <v>345</v>
      </c>
      <c r="G216" s="149"/>
      <c r="H216" s="149"/>
      <c r="I216" s="149"/>
      <c r="J216" s="149"/>
      <c r="K216" s="150"/>
    </row>
    <row r="217" spans="1:11" ht="12.75">
      <c r="A217" s="1" t="s">
        <v>346</v>
      </c>
      <c r="B217" s="36">
        <f>B208/B159</f>
        <v>0.13738925979897132</v>
      </c>
      <c r="C217" s="2" t="s">
        <v>111</v>
      </c>
      <c r="D217" s="22">
        <f>B217/25.4</f>
        <v>0.005409025976337454</v>
      </c>
      <c r="E217" s="7" t="s">
        <v>112</v>
      </c>
      <c r="F217" s="148" t="s">
        <v>347</v>
      </c>
      <c r="G217" s="149"/>
      <c r="H217" s="149"/>
      <c r="I217" s="149"/>
      <c r="J217" s="149"/>
      <c r="K217" s="150"/>
    </row>
    <row r="218" spans="1:11" ht="12.75">
      <c r="A218" s="1" t="s">
        <v>348</v>
      </c>
      <c r="B218" s="36">
        <f>B209/B159</f>
        <v>0.16137041882509323</v>
      </c>
      <c r="C218" s="2" t="s">
        <v>111</v>
      </c>
      <c r="D218" s="22">
        <f>B218/25.4</f>
        <v>0.006353166095476112</v>
      </c>
      <c r="E218" s="7" t="s">
        <v>112</v>
      </c>
      <c r="F218" s="148" t="s">
        <v>349</v>
      </c>
      <c r="G218" s="149"/>
      <c r="H218" s="149"/>
      <c r="I218" s="149"/>
      <c r="J218" s="149"/>
      <c r="K218" s="150"/>
    </row>
    <row r="219" spans="1:11" ht="12.75">
      <c r="A219" s="1" t="s">
        <v>350</v>
      </c>
      <c r="B219" s="36">
        <f>(B214/B207)*B159*(B54^2)</f>
        <v>164.8899535450006</v>
      </c>
      <c r="C219" s="2" t="s">
        <v>351</v>
      </c>
      <c r="D219" s="24">
        <f>B219*25.4*25.4*25.4</f>
        <v>2702062.221698951</v>
      </c>
      <c r="E219" s="7" t="s">
        <v>352</v>
      </c>
      <c r="F219" s="148" t="s">
        <v>353</v>
      </c>
      <c r="G219" s="149"/>
      <c r="H219" s="149"/>
      <c r="I219" s="149"/>
      <c r="J219" s="149"/>
      <c r="K219" s="150"/>
    </row>
    <row r="220" spans="1:11" ht="12.75">
      <c r="A220" s="1" t="s">
        <v>354</v>
      </c>
      <c r="B220" s="36">
        <f>(B214/B210)*B159*(B54^2)</f>
        <v>133.52669682038476</v>
      </c>
      <c r="C220" s="2" t="s">
        <v>351</v>
      </c>
      <c r="D220" s="24">
        <f>B220*25.4*25.4*25.4</f>
        <v>2188110.5265042414</v>
      </c>
      <c r="E220" s="7" t="s">
        <v>352</v>
      </c>
      <c r="F220" s="148" t="s">
        <v>355</v>
      </c>
      <c r="G220" s="149"/>
      <c r="H220" s="149"/>
      <c r="I220" s="149"/>
      <c r="J220" s="149"/>
      <c r="K220" s="150"/>
    </row>
    <row r="221" spans="1:11" ht="12.75">
      <c r="A221" s="1" t="s">
        <v>356</v>
      </c>
      <c r="B221" s="36">
        <f>(((B61*B217)+1)/B212)+((B61^3)/B219)</f>
        <v>1.2270711402062138</v>
      </c>
      <c r="C221" s="2" t="s">
        <v>218</v>
      </c>
      <c r="D221" s="22">
        <f t="shared" si="1"/>
        <v>1.2270711402062138</v>
      </c>
      <c r="E221" s="2" t="s">
        <v>218</v>
      </c>
      <c r="F221" s="148" t="s">
        <v>357</v>
      </c>
      <c r="G221" s="149"/>
      <c r="H221" s="149"/>
      <c r="I221" s="149"/>
      <c r="J221" s="149"/>
      <c r="K221" s="150"/>
    </row>
    <row r="222" spans="1:11" ht="12.75">
      <c r="A222" s="1" t="s">
        <v>358</v>
      </c>
      <c r="B222" s="36">
        <f>(((B61*B218)+1)/B212)+((B61^3)/B220)</f>
        <v>1.3626864478499172</v>
      </c>
      <c r="C222" s="2" t="s">
        <v>218</v>
      </c>
      <c r="D222" s="22">
        <f>B222</f>
        <v>1.3626864478499172</v>
      </c>
      <c r="E222" s="2" t="s">
        <v>218</v>
      </c>
      <c r="F222" s="148" t="s">
        <v>359</v>
      </c>
      <c r="G222" s="149"/>
      <c r="H222" s="149"/>
      <c r="I222" s="149"/>
      <c r="J222" s="149"/>
      <c r="K222" s="150"/>
    </row>
  </sheetData>
  <sheetProtection password="C7F9" sheet="1" objects="1" scenarios="1"/>
  <mergeCells count="255">
    <mergeCell ref="A1:I1"/>
    <mergeCell ref="J1:K1"/>
    <mergeCell ref="A2:I2"/>
    <mergeCell ref="J2:K2"/>
    <mergeCell ref="A6:E6"/>
    <mergeCell ref="F6:K6"/>
    <mergeCell ref="A7:E7"/>
    <mergeCell ref="F7:K7"/>
    <mergeCell ref="A3:K3"/>
    <mergeCell ref="A4:K4"/>
    <mergeCell ref="A5:E5"/>
    <mergeCell ref="F5:K5"/>
    <mergeCell ref="A8:E8"/>
    <mergeCell ref="F8:K8"/>
    <mergeCell ref="A9:K9"/>
    <mergeCell ref="B10:C10"/>
    <mergeCell ref="D10:E10"/>
    <mergeCell ref="F10:K10"/>
    <mergeCell ref="F15:K15"/>
    <mergeCell ref="F16:K16"/>
    <mergeCell ref="F17:K17"/>
    <mergeCell ref="F18:K18"/>
    <mergeCell ref="F11:K11"/>
    <mergeCell ref="F12:K12"/>
    <mergeCell ref="F13:K13"/>
    <mergeCell ref="F14:K14"/>
    <mergeCell ref="F23:K23"/>
    <mergeCell ref="F24:K24"/>
    <mergeCell ref="F25:K25"/>
    <mergeCell ref="F26:K26"/>
    <mergeCell ref="F19:K19"/>
    <mergeCell ref="F20:K20"/>
    <mergeCell ref="F21:K21"/>
    <mergeCell ref="F22:K22"/>
    <mergeCell ref="A31:K31"/>
    <mergeCell ref="F32:K32"/>
    <mergeCell ref="F33:K33"/>
    <mergeCell ref="F34:K34"/>
    <mergeCell ref="F27:K27"/>
    <mergeCell ref="A28:K28"/>
    <mergeCell ref="F29:K29"/>
    <mergeCell ref="F30:K30"/>
    <mergeCell ref="F40:K40"/>
    <mergeCell ref="F41:K41"/>
    <mergeCell ref="A42:B42"/>
    <mergeCell ref="C42:K42"/>
    <mergeCell ref="F36:K36"/>
    <mergeCell ref="F37:K37"/>
    <mergeCell ref="F38:K38"/>
    <mergeCell ref="F39:K39"/>
    <mergeCell ref="A47:K47"/>
    <mergeCell ref="A48:K48"/>
    <mergeCell ref="A49:K49"/>
    <mergeCell ref="A50:K50"/>
    <mergeCell ref="F43:K43"/>
    <mergeCell ref="F44:K44"/>
    <mergeCell ref="F45:K45"/>
    <mergeCell ref="A46:K46"/>
    <mergeCell ref="F55:K55"/>
    <mergeCell ref="F56:K56"/>
    <mergeCell ref="F57:K57"/>
    <mergeCell ref="F58:K58"/>
    <mergeCell ref="C51:K51"/>
    <mergeCell ref="F52:K52"/>
    <mergeCell ref="F53:K53"/>
    <mergeCell ref="F54:K54"/>
    <mergeCell ref="F63:K63"/>
    <mergeCell ref="F64:K64"/>
    <mergeCell ref="F65:K65"/>
    <mergeCell ref="F66:K66"/>
    <mergeCell ref="F59:K59"/>
    <mergeCell ref="F60:K60"/>
    <mergeCell ref="F61:K61"/>
    <mergeCell ref="F62:K62"/>
    <mergeCell ref="F71:K71"/>
    <mergeCell ref="A72:K72"/>
    <mergeCell ref="F73:K73"/>
    <mergeCell ref="F74:K74"/>
    <mergeCell ref="F67:K67"/>
    <mergeCell ref="F68:K68"/>
    <mergeCell ref="F69:K69"/>
    <mergeCell ref="F70:K70"/>
    <mergeCell ref="F79:K79"/>
    <mergeCell ref="F80:K80"/>
    <mergeCell ref="F81:K81"/>
    <mergeCell ref="F82:K82"/>
    <mergeCell ref="F75:K75"/>
    <mergeCell ref="F76:K76"/>
    <mergeCell ref="F77:K77"/>
    <mergeCell ref="F78:K78"/>
    <mergeCell ref="A83:B83"/>
    <mergeCell ref="C83:D83"/>
    <mergeCell ref="H83:K83"/>
    <mergeCell ref="A84:B84"/>
    <mergeCell ref="C84:D84"/>
    <mergeCell ref="H84:K84"/>
    <mergeCell ref="A89:K89"/>
    <mergeCell ref="A90:K90"/>
    <mergeCell ref="A91:B91"/>
    <mergeCell ref="D91:K91"/>
    <mergeCell ref="A85:K85"/>
    <mergeCell ref="A86:K86"/>
    <mergeCell ref="A87:K87"/>
    <mergeCell ref="A88:K88"/>
    <mergeCell ref="C97:K97"/>
    <mergeCell ref="C98:K98"/>
    <mergeCell ref="C99:K99"/>
    <mergeCell ref="A92:B92"/>
    <mergeCell ref="C92:D92"/>
    <mergeCell ref="H92:K92"/>
    <mergeCell ref="A93:B93"/>
    <mergeCell ref="C93:D93"/>
    <mergeCell ref="H93:K93"/>
    <mergeCell ref="A100:K100"/>
    <mergeCell ref="F101:K101"/>
    <mergeCell ref="F102:K102"/>
    <mergeCell ref="F103:K103"/>
    <mergeCell ref="A94:B94"/>
    <mergeCell ref="C94:D94"/>
    <mergeCell ref="H94:K94"/>
    <mergeCell ref="A95:B99"/>
    <mergeCell ref="C95:K95"/>
    <mergeCell ref="C96:K96"/>
    <mergeCell ref="A106:B106"/>
    <mergeCell ref="C106:D106"/>
    <mergeCell ref="H106:K106"/>
    <mergeCell ref="A107:K107"/>
    <mergeCell ref="F104:K104"/>
    <mergeCell ref="A105:B105"/>
    <mergeCell ref="C105:D105"/>
    <mergeCell ref="H105:K105"/>
    <mergeCell ref="A108:B112"/>
    <mergeCell ref="C108:K108"/>
    <mergeCell ref="C109:K109"/>
    <mergeCell ref="C110:K110"/>
    <mergeCell ref="C111:K111"/>
    <mergeCell ref="C112:K112"/>
    <mergeCell ref="F117:K117"/>
    <mergeCell ref="F118:K118"/>
    <mergeCell ref="F119:K119"/>
    <mergeCell ref="F120:K120"/>
    <mergeCell ref="A113:K113"/>
    <mergeCell ref="F114:K114"/>
    <mergeCell ref="F115:K115"/>
    <mergeCell ref="F116:K116"/>
    <mergeCell ref="A121:B121"/>
    <mergeCell ref="C121:D121"/>
    <mergeCell ref="H121:K121"/>
    <mergeCell ref="A122:B122"/>
    <mergeCell ref="C122:D122"/>
    <mergeCell ref="H122:K122"/>
    <mergeCell ref="A123:K123"/>
    <mergeCell ref="A124:B128"/>
    <mergeCell ref="C124:K124"/>
    <mergeCell ref="C125:K125"/>
    <mergeCell ref="C126:K126"/>
    <mergeCell ref="C127:K127"/>
    <mergeCell ref="C128:K128"/>
    <mergeCell ref="A133:K133"/>
    <mergeCell ref="C134:K134"/>
    <mergeCell ref="A135:K135"/>
    <mergeCell ref="F136:K136"/>
    <mergeCell ref="A129:K129"/>
    <mergeCell ref="A130:K130"/>
    <mergeCell ref="A131:K131"/>
    <mergeCell ref="A132:K132"/>
    <mergeCell ref="A141:E141"/>
    <mergeCell ref="F141:K141"/>
    <mergeCell ref="A142:K142"/>
    <mergeCell ref="F143:K143"/>
    <mergeCell ref="F137:K137"/>
    <mergeCell ref="F138:K138"/>
    <mergeCell ref="F139:K139"/>
    <mergeCell ref="F140:K140"/>
    <mergeCell ref="A148:E148"/>
    <mergeCell ref="F148:K148"/>
    <mergeCell ref="A149:K149"/>
    <mergeCell ref="F150:K150"/>
    <mergeCell ref="F144:K144"/>
    <mergeCell ref="F145:K145"/>
    <mergeCell ref="F146:K146"/>
    <mergeCell ref="F147:K147"/>
    <mergeCell ref="A155:E155"/>
    <mergeCell ref="F155:K155"/>
    <mergeCell ref="A156:K156"/>
    <mergeCell ref="A157:K157"/>
    <mergeCell ref="F151:K151"/>
    <mergeCell ref="F152:K152"/>
    <mergeCell ref="F153:K153"/>
    <mergeCell ref="F154:K154"/>
    <mergeCell ref="F162:K162"/>
    <mergeCell ref="F163:K163"/>
    <mergeCell ref="F164:K164"/>
    <mergeCell ref="F165:K165"/>
    <mergeCell ref="A158:K158"/>
    <mergeCell ref="F159:K159"/>
    <mergeCell ref="F160:K160"/>
    <mergeCell ref="F161:K161"/>
    <mergeCell ref="F170:K170"/>
    <mergeCell ref="F171:K171"/>
    <mergeCell ref="F172:K172"/>
    <mergeCell ref="F173:K173"/>
    <mergeCell ref="F166:K166"/>
    <mergeCell ref="F167:K167"/>
    <mergeCell ref="F168:K168"/>
    <mergeCell ref="F169:K169"/>
    <mergeCell ref="F178:K178"/>
    <mergeCell ref="F179:K179"/>
    <mergeCell ref="F180:K180"/>
    <mergeCell ref="F181:K181"/>
    <mergeCell ref="F174:K174"/>
    <mergeCell ref="F175:K175"/>
    <mergeCell ref="F176:K176"/>
    <mergeCell ref="F177:K177"/>
    <mergeCell ref="F186:K186"/>
    <mergeCell ref="F187:K187"/>
    <mergeCell ref="F188:K188"/>
    <mergeCell ref="F189:K189"/>
    <mergeCell ref="F182:K182"/>
    <mergeCell ref="F183:K183"/>
    <mergeCell ref="F184:K184"/>
    <mergeCell ref="F185:K185"/>
    <mergeCell ref="F194:K194"/>
    <mergeCell ref="F195:K195"/>
    <mergeCell ref="F196:K196"/>
    <mergeCell ref="F197:K197"/>
    <mergeCell ref="F190:K190"/>
    <mergeCell ref="F191:K191"/>
    <mergeCell ref="F192:K192"/>
    <mergeCell ref="F193:K193"/>
    <mergeCell ref="F202:K202"/>
    <mergeCell ref="F203:K203"/>
    <mergeCell ref="F204:K204"/>
    <mergeCell ref="F205:K205"/>
    <mergeCell ref="F198:K198"/>
    <mergeCell ref="F199:K199"/>
    <mergeCell ref="F200:K200"/>
    <mergeCell ref="F201:K201"/>
    <mergeCell ref="F210:K210"/>
    <mergeCell ref="F211:K211"/>
    <mergeCell ref="F212:K212"/>
    <mergeCell ref="F213:K213"/>
    <mergeCell ref="F206:K206"/>
    <mergeCell ref="F207:K207"/>
    <mergeCell ref="F208:K208"/>
    <mergeCell ref="F209:K209"/>
    <mergeCell ref="F222:K222"/>
    <mergeCell ref="F218:K218"/>
    <mergeCell ref="F219:K219"/>
    <mergeCell ref="F220:K220"/>
    <mergeCell ref="F221:K221"/>
    <mergeCell ref="F214:K214"/>
    <mergeCell ref="F215:K215"/>
    <mergeCell ref="F216:K216"/>
    <mergeCell ref="F217:K217"/>
  </mergeCells>
  <conditionalFormatting sqref="C95:K95 C108:K108 C124:K124">
    <cfRule type="cellIs" priority="1" dxfId="1" operator="equal" stopIfTrue="1">
      <formula>"A tensão longitudinal não passou"</formula>
    </cfRule>
  </conditionalFormatting>
  <conditionalFormatting sqref="C96:K96 C109:K109 C125:K125">
    <cfRule type="cellIs" priority="2" dxfId="1" operator="equal" stopIfTrue="1">
      <formula>"A tensão radial não passou"</formula>
    </cfRule>
  </conditionalFormatting>
  <conditionalFormatting sqref="C97:K97 C110:K110 C126:K126">
    <cfRule type="cellIs" priority="3" dxfId="1" operator="equal" stopIfTrue="1">
      <formula>"A tensão tangencial não passou"</formula>
    </cfRule>
  </conditionalFormatting>
  <conditionalFormatting sqref="C98:K98">
    <cfRule type="cellIs" priority="4" dxfId="1" operator="equal" stopIfTrue="1">
      <formula>"Não passou: ((SHO+SRO)/2) é maior do que Sfp"</formula>
    </cfRule>
  </conditionalFormatting>
  <conditionalFormatting sqref="C99:K99">
    <cfRule type="cellIs" priority="5" dxfId="1" operator="equal" stopIfTrue="1">
      <formula>"Não passou: ((SHO+STO)/2) é mairo do que Sfp"</formula>
    </cfRule>
  </conditionalFormatting>
  <conditionalFormatting sqref="C111:K111">
    <cfRule type="cellIs" priority="6" dxfId="1" operator="equal" stopIfTrue="1">
      <formula>"Não passou: ((SHA+SRA)/2) é maior do que Sff"</formula>
    </cfRule>
  </conditionalFormatting>
  <conditionalFormatting sqref="C112:K112">
    <cfRule type="cellIs" priority="7" dxfId="1" operator="equal" stopIfTrue="1">
      <formula>"Não passou: ((SHA+STA)/2) é maior do que Sff"</formula>
    </cfRule>
  </conditionalFormatting>
  <conditionalFormatting sqref="C127:K127">
    <cfRule type="cellIs" priority="8" dxfId="1" operator="equal" stopIfTrue="1">
      <formula>"Não passou: ((SHI+SRI)/2) é maior do que Sff"</formula>
    </cfRule>
  </conditionalFormatting>
  <conditionalFormatting sqref="C128:K128">
    <cfRule type="cellIs" priority="9" dxfId="1" operator="equal" stopIfTrue="1">
      <formula>"Não passou: ((SHI+STI)/2) é maior do que Sff"</formula>
    </cfRule>
  </conditionalFormatting>
  <conditionalFormatting sqref="F141:K141 F148:K148 F155:K155">
    <cfRule type="cellIs" priority="10" dxfId="1" operator="equal" stopIfTrue="1">
      <formula>"Reanalisar, os flanges não tem rigidez suficiente"</formula>
    </cfRule>
  </conditionalFormatting>
  <conditionalFormatting sqref="C42:K42">
    <cfRule type="cellIs" priority="11" dxfId="0" operator="equal" stopIfTrue="1">
      <formula>"A área resistente dos parafusos está OK!"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2"/>
  <sheetViews>
    <sheetView zoomScalePageLayoutView="0" workbookViewId="0" topLeftCell="A1">
      <selection activeCell="F6" sqref="F6:K6"/>
    </sheetView>
  </sheetViews>
  <sheetFormatPr defaultColWidth="9.140625" defaultRowHeight="12.75"/>
  <cols>
    <col min="1" max="1" width="9.140625" style="34" customWidth="1"/>
    <col min="2" max="2" width="12.28125" style="34" customWidth="1"/>
    <col min="3" max="3" width="9.140625" style="34" customWidth="1"/>
    <col min="4" max="4" width="12.00390625" style="34" customWidth="1"/>
    <col min="5" max="10" width="9.140625" style="34" customWidth="1"/>
    <col min="11" max="11" width="13.57421875" style="34" customWidth="1"/>
    <col min="12" max="16384" width="9.140625" style="34" customWidth="1"/>
  </cols>
  <sheetData>
    <row r="1" spans="1:11" ht="14.25">
      <c r="A1" s="106" t="s">
        <v>34</v>
      </c>
      <c r="B1" s="107"/>
      <c r="C1" s="107"/>
      <c r="D1" s="107"/>
      <c r="E1" s="107"/>
      <c r="F1" s="107"/>
      <c r="G1" s="107"/>
      <c r="H1" s="107"/>
      <c r="I1" s="108"/>
      <c r="J1" s="109" t="s">
        <v>35</v>
      </c>
      <c r="K1" s="110"/>
    </row>
    <row r="2" spans="1:11" ht="12.75">
      <c r="A2" s="111" t="s">
        <v>36</v>
      </c>
      <c r="B2" s="112"/>
      <c r="C2" s="112"/>
      <c r="D2" s="112"/>
      <c r="E2" s="112"/>
      <c r="F2" s="112"/>
      <c r="G2" s="112"/>
      <c r="H2" s="112"/>
      <c r="I2" s="113"/>
      <c r="J2" s="114" t="s">
        <v>37</v>
      </c>
      <c r="K2" s="115"/>
    </row>
    <row r="3" spans="1:11" ht="12.7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8">
      <c r="A4" s="119" t="s">
        <v>38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2.75">
      <c r="A5" s="120" t="s">
        <v>39</v>
      </c>
      <c r="B5" s="121"/>
      <c r="C5" s="121"/>
      <c r="D5" s="121"/>
      <c r="E5" s="122"/>
      <c r="F5" s="123" t="s">
        <v>387</v>
      </c>
      <c r="G5" s="124"/>
      <c r="H5" s="124"/>
      <c r="I5" s="124"/>
      <c r="J5" s="124"/>
      <c r="K5" s="125"/>
    </row>
    <row r="6" spans="1:11" ht="12.75">
      <c r="A6" s="120" t="s">
        <v>40</v>
      </c>
      <c r="B6" s="121"/>
      <c r="C6" s="121"/>
      <c r="D6" s="121"/>
      <c r="E6" s="122"/>
      <c r="F6" s="126" t="s">
        <v>391</v>
      </c>
      <c r="G6" s="127"/>
      <c r="H6" s="127"/>
      <c r="I6" s="127"/>
      <c r="J6" s="127"/>
      <c r="K6" s="128"/>
    </row>
    <row r="7" spans="1:11" ht="12.75">
      <c r="A7" s="120" t="s">
        <v>41</v>
      </c>
      <c r="B7" s="121"/>
      <c r="C7" s="121"/>
      <c r="D7" s="121"/>
      <c r="E7" s="122"/>
      <c r="F7" s="126" t="s">
        <v>390</v>
      </c>
      <c r="G7" s="127"/>
      <c r="H7" s="127"/>
      <c r="I7" s="127"/>
      <c r="J7" s="127"/>
      <c r="K7" s="128"/>
    </row>
    <row r="8" spans="1:11" ht="12.75">
      <c r="A8" s="120" t="s">
        <v>42</v>
      </c>
      <c r="B8" s="121"/>
      <c r="C8" s="121"/>
      <c r="D8" s="121"/>
      <c r="E8" s="122"/>
      <c r="F8" s="129" t="s">
        <v>378</v>
      </c>
      <c r="G8" s="130"/>
      <c r="H8" s="130"/>
      <c r="I8" s="130"/>
      <c r="J8" s="130"/>
      <c r="K8" s="131"/>
    </row>
    <row r="9" spans="1:11" ht="12.75">
      <c r="A9" s="132" t="s">
        <v>43</v>
      </c>
      <c r="B9" s="133"/>
      <c r="C9" s="133"/>
      <c r="D9" s="133"/>
      <c r="E9" s="133"/>
      <c r="F9" s="133"/>
      <c r="G9" s="133"/>
      <c r="H9" s="133"/>
      <c r="I9" s="133"/>
      <c r="J9" s="133"/>
      <c r="K9" s="134"/>
    </row>
    <row r="10" spans="1:11" ht="12.75">
      <c r="A10" s="9"/>
      <c r="B10" s="135" t="s">
        <v>44</v>
      </c>
      <c r="C10" s="136"/>
      <c r="D10" s="135" t="s">
        <v>45</v>
      </c>
      <c r="E10" s="136"/>
      <c r="F10" s="137"/>
      <c r="G10" s="133"/>
      <c r="H10" s="133"/>
      <c r="I10" s="133"/>
      <c r="J10" s="133"/>
      <c r="K10" s="138"/>
    </row>
    <row r="11" spans="1:11" ht="12.75">
      <c r="A11" s="1" t="s">
        <v>46</v>
      </c>
      <c r="B11" s="25">
        <v>39.63</v>
      </c>
      <c r="C11" s="2" t="s">
        <v>47</v>
      </c>
      <c r="D11" s="3">
        <f>B11*25.4</f>
        <v>1006.602</v>
      </c>
      <c r="E11" s="7" t="s">
        <v>2</v>
      </c>
      <c r="F11" s="139" t="s">
        <v>48</v>
      </c>
      <c r="G11" s="140"/>
      <c r="H11" s="140"/>
      <c r="I11" s="140"/>
      <c r="J11" s="140"/>
      <c r="K11" s="141"/>
    </row>
    <row r="12" spans="1:11" ht="12.75">
      <c r="A12" s="1" t="s">
        <v>49</v>
      </c>
      <c r="B12" s="25">
        <v>37.63</v>
      </c>
      <c r="C12" s="2" t="s">
        <v>47</v>
      </c>
      <c r="D12" s="3">
        <f>B12*25.4</f>
        <v>955.802</v>
      </c>
      <c r="E12" s="7" t="s">
        <v>2</v>
      </c>
      <c r="F12" s="139" t="s">
        <v>50</v>
      </c>
      <c r="G12" s="140"/>
      <c r="H12" s="140"/>
      <c r="I12" s="140"/>
      <c r="J12" s="140"/>
      <c r="K12" s="141"/>
    </row>
    <row r="13" spans="1:11" ht="12.75">
      <c r="A13" s="1" t="s">
        <v>51</v>
      </c>
      <c r="B13" s="26">
        <v>4</v>
      </c>
      <c r="C13" s="2" t="s">
        <v>14</v>
      </c>
      <c r="D13" s="3">
        <f>B13</f>
        <v>4</v>
      </c>
      <c r="E13" s="2" t="s">
        <v>14</v>
      </c>
      <c r="F13" s="139" t="s">
        <v>52</v>
      </c>
      <c r="G13" s="140"/>
      <c r="H13" s="140"/>
      <c r="I13" s="140"/>
      <c r="J13" s="140"/>
      <c r="K13" s="141"/>
    </row>
    <row r="14" spans="1:11" ht="12.75">
      <c r="A14" s="1" t="s">
        <v>53</v>
      </c>
      <c r="B14" s="27">
        <f>3*14.22</f>
        <v>42.660000000000004</v>
      </c>
      <c r="C14" s="2" t="s">
        <v>0</v>
      </c>
      <c r="D14" s="3">
        <f>B14*6.894757</f>
        <v>294.13033362000004</v>
      </c>
      <c r="E14" s="7" t="s">
        <v>9</v>
      </c>
      <c r="F14" s="142" t="s">
        <v>54</v>
      </c>
      <c r="G14" s="143"/>
      <c r="H14" s="143"/>
      <c r="I14" s="143"/>
      <c r="J14" s="143"/>
      <c r="K14" s="144"/>
    </row>
    <row r="15" spans="1:11" ht="12.75">
      <c r="A15" s="1" t="s">
        <v>55</v>
      </c>
      <c r="B15" s="27">
        <v>422826</v>
      </c>
      <c r="C15" s="2" t="s">
        <v>56</v>
      </c>
      <c r="D15" s="3">
        <f>B15*0.01152124</f>
        <v>4871.47982424</v>
      </c>
      <c r="E15" s="7" t="s">
        <v>57</v>
      </c>
      <c r="F15" s="142" t="s">
        <v>58</v>
      </c>
      <c r="G15" s="143"/>
      <c r="H15" s="143"/>
      <c r="I15" s="143"/>
      <c r="J15" s="143"/>
      <c r="K15" s="144"/>
    </row>
    <row r="16" spans="1:11" ht="17.25" customHeight="1">
      <c r="A16" s="10" t="s">
        <v>59</v>
      </c>
      <c r="B16" s="27">
        <f>273+2876890*0</f>
        <v>273</v>
      </c>
      <c r="C16" s="2" t="s">
        <v>29</v>
      </c>
      <c r="D16" s="3">
        <f>B16*0.4535924</f>
        <v>123.8307252</v>
      </c>
      <c r="E16" s="7" t="s">
        <v>1</v>
      </c>
      <c r="F16" s="145" t="s">
        <v>60</v>
      </c>
      <c r="G16" s="146"/>
      <c r="H16" s="146"/>
      <c r="I16" s="146"/>
      <c r="J16" s="146"/>
      <c r="K16" s="147"/>
    </row>
    <row r="17" spans="1:11" ht="12.75">
      <c r="A17" s="1" t="s">
        <v>61</v>
      </c>
      <c r="B17" s="8">
        <f>(16*B15)/(3.14*(B24^3))</f>
        <v>36.537318823636966</v>
      </c>
      <c r="C17" s="2" t="s">
        <v>0</v>
      </c>
      <c r="D17" s="3">
        <f>B17*6.894757</f>
        <v>251.91593472050275</v>
      </c>
      <c r="E17" s="7" t="s">
        <v>9</v>
      </c>
      <c r="F17" s="145" t="s">
        <v>62</v>
      </c>
      <c r="G17" s="146"/>
      <c r="H17" s="146"/>
      <c r="I17" s="146"/>
      <c r="J17" s="146"/>
      <c r="K17" s="147"/>
    </row>
    <row r="18" spans="1:11" ht="12.75">
      <c r="A18" s="1" t="s">
        <v>63</v>
      </c>
      <c r="B18" s="8">
        <f>(4*B16)/(3.1416*(B24^2))</f>
        <v>0.22943597779465866</v>
      </c>
      <c r="C18" s="2" t="s">
        <v>0</v>
      </c>
      <c r="D18" s="3">
        <f>B18*6.894757</f>
        <v>1.5819053139515673</v>
      </c>
      <c r="E18" s="7" t="s">
        <v>9</v>
      </c>
      <c r="F18" s="145" t="s">
        <v>64</v>
      </c>
      <c r="G18" s="146"/>
      <c r="H18" s="146"/>
      <c r="I18" s="146"/>
      <c r="J18" s="146"/>
      <c r="K18" s="147"/>
    </row>
    <row r="19" spans="1:11" ht="12.75">
      <c r="A19" s="1" t="s">
        <v>65</v>
      </c>
      <c r="B19" s="8">
        <f>((16*B15)/(3.14*(B24^3)))+((4*B16)/(3.14*(B24^2)))</f>
        <v>36.766871711484</v>
      </c>
      <c r="C19" s="2" t="s">
        <v>0</v>
      </c>
      <c r="D19" s="3">
        <f>B19*6.894757</f>
        <v>253.4986461008563</v>
      </c>
      <c r="E19" s="7" t="s">
        <v>9</v>
      </c>
      <c r="F19" s="145" t="s">
        <v>66</v>
      </c>
      <c r="G19" s="146"/>
      <c r="H19" s="146"/>
      <c r="I19" s="146"/>
      <c r="J19" s="146"/>
      <c r="K19" s="147"/>
    </row>
    <row r="20" spans="1:11" ht="12.75">
      <c r="A20" s="1" t="s">
        <v>67</v>
      </c>
      <c r="B20" s="8">
        <f>B19+B14</f>
        <v>79.42687171148401</v>
      </c>
      <c r="C20" s="2" t="s">
        <v>0</v>
      </c>
      <c r="D20" s="3">
        <f>B20*6.894757</f>
        <v>547.6289797208564</v>
      </c>
      <c r="E20" s="7" t="s">
        <v>9</v>
      </c>
      <c r="F20" s="145" t="s">
        <v>68</v>
      </c>
      <c r="G20" s="146"/>
      <c r="H20" s="146"/>
      <c r="I20" s="146"/>
      <c r="J20" s="146"/>
      <c r="K20" s="147"/>
    </row>
    <row r="21" spans="1:11" ht="12.75">
      <c r="A21" s="1" t="s">
        <v>69</v>
      </c>
      <c r="B21" s="8">
        <f>((B11-B12)/2)</f>
        <v>1</v>
      </c>
      <c r="C21" s="2" t="s">
        <v>47</v>
      </c>
      <c r="D21" s="3">
        <f>B21*25.4</f>
        <v>25.4</v>
      </c>
      <c r="E21" s="7" t="s">
        <v>2</v>
      </c>
      <c r="F21" s="142" t="s">
        <v>70</v>
      </c>
      <c r="G21" s="143"/>
      <c r="H21" s="143"/>
      <c r="I21" s="143"/>
      <c r="J21" s="143"/>
      <c r="K21" s="144"/>
    </row>
    <row r="22" spans="1:11" ht="12.75">
      <c r="A22" s="1" t="s">
        <v>71</v>
      </c>
      <c r="B22" s="8">
        <f>+B21/2</f>
        <v>0.5</v>
      </c>
      <c r="C22" s="2" t="s">
        <v>47</v>
      </c>
      <c r="D22" s="3">
        <f>B22*25.4</f>
        <v>12.7</v>
      </c>
      <c r="E22" s="7" t="s">
        <v>2</v>
      </c>
      <c r="F22" s="148" t="s">
        <v>72</v>
      </c>
      <c r="G22" s="149"/>
      <c r="H22" s="149"/>
      <c r="I22" s="149"/>
      <c r="J22" s="149"/>
      <c r="K22" s="150"/>
    </row>
    <row r="23" spans="1:11" ht="21" customHeight="1">
      <c r="A23" s="10" t="s">
        <v>73</v>
      </c>
      <c r="B23" s="8">
        <f>IF(B22&lt;=0.25,B22,0.5*SQRT(B22))</f>
        <v>0.3535533905932738</v>
      </c>
      <c r="C23" s="2" t="s">
        <v>47</v>
      </c>
      <c r="D23" s="3">
        <f>B23*25.4</f>
        <v>8.980256121069154</v>
      </c>
      <c r="E23" s="7" t="s">
        <v>2</v>
      </c>
      <c r="F23" s="151" t="s">
        <v>360</v>
      </c>
      <c r="G23" s="152"/>
      <c r="H23" s="152"/>
      <c r="I23" s="152"/>
      <c r="J23" s="152"/>
      <c r="K23" s="153"/>
    </row>
    <row r="24" spans="1:11" ht="17.25" customHeight="1">
      <c r="A24" s="1" t="s">
        <v>74</v>
      </c>
      <c r="B24" s="8">
        <f>IF(B22&lt;=0.25,((B11+B12)/2),(B11-(2*B23)))</f>
        <v>38.922893218813456</v>
      </c>
      <c r="C24" s="2" t="s">
        <v>47</v>
      </c>
      <c r="D24" s="3">
        <f>B24*25.4</f>
        <v>988.6414877578617</v>
      </c>
      <c r="E24" s="7" t="s">
        <v>2</v>
      </c>
      <c r="F24" s="145" t="s">
        <v>75</v>
      </c>
      <c r="G24" s="146"/>
      <c r="H24" s="146"/>
      <c r="I24" s="146"/>
      <c r="J24" s="146"/>
      <c r="K24" s="147"/>
    </row>
    <row r="25" spans="1:11" ht="12.75">
      <c r="A25" s="1" t="s">
        <v>76</v>
      </c>
      <c r="B25" s="3">
        <f>B20*0.785*B24*B24</f>
        <v>94459.87014410333</v>
      </c>
      <c r="C25" s="2" t="s">
        <v>29</v>
      </c>
      <c r="D25" s="3">
        <f>B25*0.4535924</f>
        <v>42846.279202352176</v>
      </c>
      <c r="E25" s="7" t="s">
        <v>1</v>
      </c>
      <c r="F25" s="145" t="s">
        <v>77</v>
      </c>
      <c r="G25" s="146"/>
      <c r="H25" s="146"/>
      <c r="I25" s="146"/>
      <c r="J25" s="146"/>
      <c r="K25" s="147"/>
    </row>
    <row r="26" spans="1:11" ht="12.75">
      <c r="A26" s="1" t="s">
        <v>78</v>
      </c>
      <c r="B26" s="3">
        <f>B13*B14*2*B23*B24*3.14</f>
        <v>14746.895660807671</v>
      </c>
      <c r="C26" s="2" t="s">
        <v>29</v>
      </c>
      <c r="D26" s="3">
        <f>B26*0.4535924</f>
        <v>6689.079795335338</v>
      </c>
      <c r="E26" s="7" t="s">
        <v>1</v>
      </c>
      <c r="F26" s="145" t="s">
        <v>79</v>
      </c>
      <c r="G26" s="146"/>
      <c r="H26" s="146"/>
      <c r="I26" s="146"/>
      <c r="J26" s="146"/>
      <c r="K26" s="147"/>
    </row>
    <row r="27" spans="1:11" ht="12.75">
      <c r="A27" s="11" t="s">
        <v>80</v>
      </c>
      <c r="B27" s="3">
        <f>B25+B26</f>
        <v>109206.765804911</v>
      </c>
      <c r="C27" s="2" t="s">
        <v>29</v>
      </c>
      <c r="D27" s="3">
        <f>B27*0.4535924</f>
        <v>49535.358997687516</v>
      </c>
      <c r="E27" s="7" t="s">
        <v>1</v>
      </c>
      <c r="F27" s="145" t="s">
        <v>81</v>
      </c>
      <c r="G27" s="146"/>
      <c r="H27" s="146"/>
      <c r="I27" s="146"/>
      <c r="J27" s="146"/>
      <c r="K27" s="147"/>
    </row>
    <row r="28" spans="1:11" ht="12.75">
      <c r="A28" s="154" t="s">
        <v>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6"/>
    </row>
    <row r="29" spans="1:11" ht="22.5" customHeight="1">
      <c r="A29" s="1" t="s">
        <v>82</v>
      </c>
      <c r="B29" s="28">
        <v>4500</v>
      </c>
      <c r="C29" s="2" t="s">
        <v>0</v>
      </c>
      <c r="D29" s="3">
        <f>B29*6.894757</f>
        <v>31026.4065</v>
      </c>
      <c r="E29" s="7" t="s">
        <v>9</v>
      </c>
      <c r="F29" s="145" t="s">
        <v>83</v>
      </c>
      <c r="G29" s="146"/>
      <c r="H29" s="146"/>
      <c r="I29" s="146"/>
      <c r="J29" s="146"/>
      <c r="K29" s="147"/>
    </row>
    <row r="30" spans="1:11" ht="12.75">
      <c r="A30" s="1" t="s">
        <v>84</v>
      </c>
      <c r="B30" s="3">
        <f>B23*B24*B29*3.1416</f>
        <v>194546.545392216</v>
      </c>
      <c r="C30" s="2" t="s">
        <v>29</v>
      </c>
      <c r="D30" s="3">
        <f>B30*0.4535924</f>
        <v>88244.83443616421</v>
      </c>
      <c r="E30" s="7" t="s">
        <v>1</v>
      </c>
      <c r="F30" s="145" t="s">
        <v>85</v>
      </c>
      <c r="G30" s="146"/>
      <c r="H30" s="146"/>
      <c r="I30" s="146"/>
      <c r="J30" s="146"/>
      <c r="K30" s="147"/>
    </row>
    <row r="31" spans="1:11" ht="23.25" customHeight="1">
      <c r="A31" s="154" t="s">
        <v>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6"/>
    </row>
    <row r="32" spans="1:11" ht="12.75">
      <c r="A32" s="1" t="s">
        <v>5</v>
      </c>
      <c r="B32" s="28">
        <v>380</v>
      </c>
      <c r="C32" s="2" t="s">
        <v>6</v>
      </c>
      <c r="D32" s="41">
        <f>B32*1.8+32</f>
        <v>716</v>
      </c>
      <c r="E32" s="2" t="s">
        <v>6</v>
      </c>
      <c r="F32" s="148" t="s">
        <v>7</v>
      </c>
      <c r="G32" s="149"/>
      <c r="H32" s="149"/>
      <c r="I32" s="149"/>
      <c r="J32" s="149"/>
      <c r="K32" s="150"/>
    </row>
    <row r="33" spans="1:11" ht="12.75">
      <c r="A33" s="1" t="s">
        <v>8</v>
      </c>
      <c r="B33" s="28">
        <v>11700</v>
      </c>
      <c r="C33" s="2" t="s">
        <v>0</v>
      </c>
      <c r="D33" s="3">
        <f>B33*6.894757</f>
        <v>80668.6569</v>
      </c>
      <c r="E33" s="7" t="s">
        <v>9</v>
      </c>
      <c r="F33" s="148" t="s">
        <v>10</v>
      </c>
      <c r="G33" s="149"/>
      <c r="H33" s="149"/>
      <c r="I33" s="149"/>
      <c r="J33" s="149"/>
      <c r="K33" s="150"/>
    </row>
    <row r="34" spans="1:11" ht="12.75">
      <c r="A34" s="1" t="s">
        <v>11</v>
      </c>
      <c r="B34" s="28">
        <v>18800</v>
      </c>
      <c r="C34" s="2" t="s">
        <v>0</v>
      </c>
      <c r="D34" s="3">
        <f>B34*6.894757</f>
        <v>129621.43160000001</v>
      </c>
      <c r="E34" s="7" t="s">
        <v>9</v>
      </c>
      <c r="F34" s="148" t="s">
        <v>12</v>
      </c>
      <c r="G34" s="149"/>
      <c r="H34" s="149"/>
      <c r="I34" s="149"/>
      <c r="J34" s="149"/>
      <c r="K34" s="150"/>
    </row>
    <row r="35" spans="1:11" ht="12.75">
      <c r="A35" s="1" t="s">
        <v>363</v>
      </c>
      <c r="B35" s="28">
        <v>2</v>
      </c>
      <c r="C35" s="2" t="s">
        <v>47</v>
      </c>
      <c r="D35" s="3">
        <f>B35*25.4</f>
        <v>50.8</v>
      </c>
      <c r="E35" s="7" t="s">
        <v>2</v>
      </c>
      <c r="F35" s="4" t="s">
        <v>364</v>
      </c>
      <c r="G35" s="5"/>
      <c r="H35" s="5"/>
      <c r="I35" s="5"/>
      <c r="J35" s="5"/>
      <c r="K35" s="6"/>
    </row>
    <row r="36" spans="1:11" ht="12.75">
      <c r="A36" s="1" t="s">
        <v>13</v>
      </c>
      <c r="B36" s="28">
        <v>32</v>
      </c>
      <c r="C36" s="2" t="s">
        <v>14</v>
      </c>
      <c r="D36" s="3">
        <f>B36</f>
        <v>32</v>
      </c>
      <c r="E36" s="7" t="s">
        <v>14</v>
      </c>
      <c r="F36" s="139" t="s">
        <v>15</v>
      </c>
      <c r="G36" s="140"/>
      <c r="H36" s="140"/>
      <c r="I36" s="140"/>
      <c r="J36" s="140"/>
      <c r="K36" s="141"/>
    </row>
    <row r="37" spans="1:11" ht="12.75">
      <c r="A37" s="1" t="s">
        <v>16</v>
      </c>
      <c r="B37" s="28">
        <v>2.652</v>
      </c>
      <c r="C37" s="2" t="s">
        <v>17</v>
      </c>
      <c r="D37" s="3">
        <f>B37*25.4*25.4</f>
        <v>1710.9643199999998</v>
      </c>
      <c r="E37" s="7" t="s">
        <v>18</v>
      </c>
      <c r="F37" s="148" t="s">
        <v>19</v>
      </c>
      <c r="G37" s="149"/>
      <c r="H37" s="149"/>
      <c r="I37" s="149"/>
      <c r="J37" s="149"/>
      <c r="K37" s="150"/>
    </row>
    <row r="38" spans="1:11" ht="12.75">
      <c r="A38" s="1" t="s">
        <v>20</v>
      </c>
      <c r="B38" s="38">
        <f>+B37*B36</f>
        <v>84.864</v>
      </c>
      <c r="C38" s="2" t="s">
        <v>17</v>
      </c>
      <c r="D38" s="3">
        <f>B38*25.4*25.4</f>
        <v>54750.858239999994</v>
      </c>
      <c r="E38" s="7" t="s">
        <v>18</v>
      </c>
      <c r="F38" s="148" t="s">
        <v>21</v>
      </c>
      <c r="G38" s="149"/>
      <c r="H38" s="149"/>
      <c r="I38" s="149"/>
      <c r="J38" s="149"/>
      <c r="K38" s="150"/>
    </row>
    <row r="39" spans="1:11" ht="12.75">
      <c r="A39" s="1" t="s">
        <v>22</v>
      </c>
      <c r="B39" s="8">
        <f>B27/B33</f>
        <v>9.33391160725735</v>
      </c>
      <c r="C39" s="2" t="s">
        <v>17</v>
      </c>
      <c r="D39" s="3">
        <f>B39*25.4*25.4</f>
        <v>6021.866412538152</v>
      </c>
      <c r="E39" s="7" t="s">
        <v>18</v>
      </c>
      <c r="F39" s="148" t="s">
        <v>23</v>
      </c>
      <c r="G39" s="149"/>
      <c r="H39" s="149"/>
      <c r="I39" s="149"/>
      <c r="J39" s="149"/>
      <c r="K39" s="150"/>
    </row>
    <row r="40" spans="1:11" ht="12.75">
      <c r="A40" s="1" t="s">
        <v>24</v>
      </c>
      <c r="B40" s="8">
        <f>B30/B34</f>
        <v>10.348220499585958</v>
      </c>
      <c r="C40" s="2" t="s">
        <v>17</v>
      </c>
      <c r="D40" s="3">
        <f>B40*25.4*25.4</f>
        <v>6676.257937512875</v>
      </c>
      <c r="E40" s="7" t="s">
        <v>18</v>
      </c>
      <c r="F40" s="148" t="s">
        <v>25</v>
      </c>
      <c r="G40" s="149"/>
      <c r="H40" s="149"/>
      <c r="I40" s="149"/>
      <c r="J40" s="149"/>
      <c r="K40" s="150"/>
    </row>
    <row r="41" spans="1:11" ht="12.75">
      <c r="A41" s="1" t="s">
        <v>26</v>
      </c>
      <c r="B41" s="39">
        <f>IF(B39&gt;B40,B39,B40)</f>
        <v>10.348220499585958</v>
      </c>
      <c r="C41" s="2" t="s">
        <v>17</v>
      </c>
      <c r="D41" s="37">
        <f>B41*25.4*25.4</f>
        <v>6676.257937512875</v>
      </c>
      <c r="E41" s="7" t="s">
        <v>18</v>
      </c>
      <c r="F41" s="148" t="s">
        <v>27</v>
      </c>
      <c r="G41" s="149"/>
      <c r="H41" s="149"/>
      <c r="I41" s="149"/>
      <c r="J41" s="149"/>
      <c r="K41" s="150"/>
    </row>
    <row r="42" spans="1:11" ht="12.75">
      <c r="A42" s="157" t="s">
        <v>362</v>
      </c>
      <c r="B42" s="158"/>
      <c r="C42" s="159" t="str">
        <f>IF(B41&lt;=B38,"A área resistente dos parafusos está OK!","Não passou!  A área resistente de parafusos é insuficiente.")</f>
        <v>A área resistente dos parafusos está OK!</v>
      </c>
      <c r="D42" s="160"/>
      <c r="E42" s="160"/>
      <c r="F42" s="160"/>
      <c r="G42" s="160"/>
      <c r="H42" s="160"/>
      <c r="I42" s="160"/>
      <c r="J42" s="160"/>
      <c r="K42" s="161"/>
    </row>
    <row r="43" spans="1:11" ht="12.75">
      <c r="A43" s="1" t="s">
        <v>28</v>
      </c>
      <c r="B43" s="3">
        <f>0.5*(B41+B38)*B34</f>
        <v>894994.8726961081</v>
      </c>
      <c r="C43" s="2" t="s">
        <v>29</v>
      </c>
      <c r="D43" s="3">
        <f>B43*0.4535924</f>
        <v>405962.8722939221</v>
      </c>
      <c r="E43" s="7" t="s">
        <v>1</v>
      </c>
      <c r="F43" s="148" t="s">
        <v>30</v>
      </c>
      <c r="G43" s="149"/>
      <c r="H43" s="149"/>
      <c r="I43" s="149"/>
      <c r="J43" s="149"/>
      <c r="K43" s="150"/>
    </row>
    <row r="44" spans="1:11" ht="12.75">
      <c r="A44" s="1" t="s">
        <v>31</v>
      </c>
      <c r="B44" s="3">
        <f>B27</f>
        <v>109206.765804911</v>
      </c>
      <c r="C44" s="2" t="s">
        <v>29</v>
      </c>
      <c r="D44" s="3">
        <f>B44*0.4535924</f>
        <v>49535.358997687516</v>
      </c>
      <c r="E44" s="7" t="s">
        <v>1</v>
      </c>
      <c r="F44" s="148" t="s">
        <v>361</v>
      </c>
      <c r="G44" s="149"/>
      <c r="H44" s="149"/>
      <c r="I44" s="149"/>
      <c r="J44" s="149"/>
      <c r="K44" s="150"/>
    </row>
    <row r="45" spans="1:11" ht="12.75">
      <c r="A45" s="1" t="s">
        <v>32</v>
      </c>
      <c r="B45" s="3">
        <f>IF(B43&gt;B44,B43,B44)</f>
        <v>894994.8726961081</v>
      </c>
      <c r="C45" s="2" t="s">
        <v>29</v>
      </c>
      <c r="D45" s="3">
        <f>B45*0.4535924</f>
        <v>405962.8722939221</v>
      </c>
      <c r="E45" s="7" t="s">
        <v>1</v>
      </c>
      <c r="F45" s="148" t="s">
        <v>33</v>
      </c>
      <c r="G45" s="149"/>
      <c r="H45" s="149"/>
      <c r="I45" s="149"/>
      <c r="J45" s="149"/>
      <c r="K45" s="150"/>
    </row>
    <row r="46" spans="1:11" ht="12.75">
      <c r="A46" s="154" t="s">
        <v>86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6"/>
    </row>
    <row r="47" spans="1:11" ht="12.75">
      <c r="A47" s="162" t="s">
        <v>87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4"/>
    </row>
    <row r="48" spans="1:11" ht="12.75">
      <c r="A48" s="165" t="s">
        <v>88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7"/>
    </row>
    <row r="49" spans="1:11" ht="12.75">
      <c r="A49" s="165" t="s">
        <v>89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7"/>
    </row>
    <row r="50" spans="1:11" ht="12.75">
      <c r="A50" s="168" t="s">
        <v>90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70"/>
    </row>
    <row r="51" spans="1:11" ht="12.75">
      <c r="A51" s="12" t="s">
        <v>91</v>
      </c>
      <c r="B51" s="25" t="s">
        <v>92</v>
      </c>
      <c r="C51" s="171" t="s">
        <v>93</v>
      </c>
      <c r="D51" s="172"/>
      <c r="E51" s="172"/>
      <c r="F51" s="172"/>
      <c r="G51" s="172"/>
      <c r="H51" s="172"/>
      <c r="I51" s="172"/>
      <c r="J51" s="172"/>
      <c r="K51" s="173"/>
    </row>
    <row r="52" spans="1:11" ht="18" customHeight="1">
      <c r="A52" s="10" t="s">
        <v>94</v>
      </c>
      <c r="B52" s="28">
        <v>3.5</v>
      </c>
      <c r="C52" s="2" t="s">
        <v>47</v>
      </c>
      <c r="D52" s="3">
        <f aca="true" t="shared" si="0" ref="D52:D59">B52*25.4</f>
        <v>88.89999999999999</v>
      </c>
      <c r="E52" s="7" t="s">
        <v>2</v>
      </c>
      <c r="F52" s="174" t="s">
        <v>95</v>
      </c>
      <c r="G52" s="175"/>
      <c r="H52" s="175"/>
      <c r="I52" s="175"/>
      <c r="J52" s="175"/>
      <c r="K52" s="176"/>
    </row>
    <row r="53" spans="1:11" ht="12.75">
      <c r="A53" s="10" t="s">
        <v>96</v>
      </c>
      <c r="B53" s="28">
        <v>1.7835</v>
      </c>
      <c r="C53" s="2" t="s">
        <v>47</v>
      </c>
      <c r="D53" s="3">
        <f t="shared" si="0"/>
        <v>45.3009</v>
      </c>
      <c r="E53" s="7" t="s">
        <v>2</v>
      </c>
      <c r="F53" s="174" t="s">
        <v>97</v>
      </c>
      <c r="G53" s="175"/>
      <c r="H53" s="175"/>
      <c r="I53" s="175"/>
      <c r="J53" s="175"/>
      <c r="K53" s="176"/>
    </row>
    <row r="54" spans="1:11" ht="12.75">
      <c r="A54" s="10" t="s">
        <v>98</v>
      </c>
      <c r="B54" s="28">
        <f>3/4</f>
        <v>0.75</v>
      </c>
      <c r="C54" s="13" t="s">
        <v>47</v>
      </c>
      <c r="D54" s="3">
        <f t="shared" si="0"/>
        <v>19.049999999999997</v>
      </c>
      <c r="E54" s="7" t="s">
        <v>2</v>
      </c>
      <c r="F54" s="177" t="s">
        <v>99</v>
      </c>
      <c r="G54" s="178"/>
      <c r="H54" s="178"/>
      <c r="I54" s="178"/>
      <c r="J54" s="178"/>
      <c r="K54" s="179"/>
    </row>
    <row r="55" spans="1:11" ht="12.75">
      <c r="A55" s="10" t="s">
        <v>100</v>
      </c>
      <c r="B55" s="28">
        <v>46</v>
      </c>
      <c r="C55" s="2" t="s">
        <v>47</v>
      </c>
      <c r="D55" s="3">
        <f t="shared" si="0"/>
        <v>1168.3999999999999</v>
      </c>
      <c r="E55" s="7" t="s">
        <v>2</v>
      </c>
      <c r="F55" s="174" t="s">
        <v>101</v>
      </c>
      <c r="G55" s="175"/>
      <c r="H55" s="175"/>
      <c r="I55" s="175"/>
      <c r="J55" s="175"/>
      <c r="K55" s="176"/>
    </row>
    <row r="56" spans="1:11" ht="12.75">
      <c r="A56" s="10" t="s">
        <v>102</v>
      </c>
      <c r="B56" s="28">
        <f>900/25.4</f>
        <v>35.43307086614173</v>
      </c>
      <c r="C56" s="2" t="s">
        <v>47</v>
      </c>
      <c r="D56" s="3">
        <f t="shared" si="0"/>
        <v>900</v>
      </c>
      <c r="E56" s="7" t="s">
        <v>2</v>
      </c>
      <c r="F56" s="174" t="s">
        <v>103</v>
      </c>
      <c r="G56" s="175"/>
      <c r="H56" s="175"/>
      <c r="I56" s="175"/>
      <c r="J56" s="175"/>
      <c r="K56" s="176"/>
    </row>
    <row r="57" spans="1:11" ht="12.75">
      <c r="A57" s="10" t="s">
        <v>104</v>
      </c>
      <c r="B57" s="28">
        <v>50</v>
      </c>
      <c r="C57" s="2" t="s">
        <v>47</v>
      </c>
      <c r="D57" s="3">
        <f t="shared" si="0"/>
        <v>1270</v>
      </c>
      <c r="E57" s="7" t="s">
        <v>2</v>
      </c>
      <c r="F57" s="174" t="s">
        <v>105</v>
      </c>
      <c r="G57" s="175"/>
      <c r="H57" s="175"/>
      <c r="I57" s="175"/>
      <c r="J57" s="175"/>
      <c r="K57" s="176"/>
    </row>
    <row r="58" spans="1:11" ht="12.75">
      <c r="A58" s="10" t="s">
        <v>106</v>
      </c>
      <c r="B58" s="28">
        <v>5.38</v>
      </c>
      <c r="C58" s="2" t="s">
        <v>47</v>
      </c>
      <c r="D58" s="3">
        <f t="shared" si="0"/>
        <v>136.652</v>
      </c>
      <c r="E58" s="7" t="s">
        <v>2</v>
      </c>
      <c r="F58" s="174" t="s">
        <v>107</v>
      </c>
      <c r="G58" s="175"/>
      <c r="H58" s="175"/>
      <c r="I58" s="175"/>
      <c r="J58" s="175"/>
      <c r="K58" s="176"/>
    </row>
    <row r="59" spans="1:11" ht="12.75">
      <c r="A59" s="10" t="s">
        <v>108</v>
      </c>
      <c r="B59" s="14">
        <f>(B56*B54)^0.5</f>
        <v>5.15507547467603</v>
      </c>
      <c r="C59" s="2" t="s">
        <v>47</v>
      </c>
      <c r="D59" s="3">
        <f t="shared" si="0"/>
        <v>130.93891705677115</v>
      </c>
      <c r="E59" s="7" t="s">
        <v>2</v>
      </c>
      <c r="F59" s="174" t="s">
        <v>109</v>
      </c>
      <c r="G59" s="175"/>
      <c r="H59" s="175"/>
      <c r="I59" s="175"/>
      <c r="J59" s="175"/>
      <c r="K59" s="176"/>
    </row>
    <row r="60" spans="1:11" ht="12.75">
      <c r="A60" s="10" t="s">
        <v>110</v>
      </c>
      <c r="B60" s="14">
        <f>IF(B51="a",(B208/B59),(B209/B59))</f>
        <v>0.13738925979897132</v>
      </c>
      <c r="C60" s="2" t="s">
        <v>111</v>
      </c>
      <c r="D60" s="3">
        <f>B60/25.4</f>
        <v>0.005409025976337454</v>
      </c>
      <c r="E60" s="7" t="s">
        <v>112</v>
      </c>
      <c r="F60" s="174" t="s">
        <v>113</v>
      </c>
      <c r="G60" s="175"/>
      <c r="H60" s="175"/>
      <c r="I60" s="175"/>
      <c r="J60" s="175"/>
      <c r="K60" s="176"/>
    </row>
    <row r="61" spans="1:11" ht="12.75">
      <c r="A61" s="10" t="s">
        <v>114</v>
      </c>
      <c r="B61" s="28">
        <f>(4.12-1/4)</f>
        <v>3.87</v>
      </c>
      <c r="C61" s="2" t="s">
        <v>47</v>
      </c>
      <c r="D61" s="3">
        <f>B61*25.4</f>
        <v>98.298</v>
      </c>
      <c r="E61" s="7" t="s">
        <v>2</v>
      </c>
      <c r="F61" s="174" t="s">
        <v>115</v>
      </c>
      <c r="G61" s="175"/>
      <c r="H61" s="175"/>
      <c r="I61" s="175"/>
      <c r="J61" s="175"/>
      <c r="K61" s="176"/>
    </row>
    <row r="62" spans="1:11" ht="12.75">
      <c r="A62" s="10"/>
      <c r="B62" s="25" t="s">
        <v>116</v>
      </c>
      <c r="C62" s="2" t="s">
        <v>117</v>
      </c>
      <c r="D62" s="3" t="s">
        <v>117</v>
      </c>
      <c r="E62" s="7" t="s">
        <v>117</v>
      </c>
      <c r="F62" s="174" t="s">
        <v>118</v>
      </c>
      <c r="G62" s="175"/>
      <c r="H62" s="175"/>
      <c r="I62" s="175"/>
      <c r="J62" s="175"/>
      <c r="K62" s="176"/>
    </row>
    <row r="63" spans="1:11" ht="12.75">
      <c r="A63" s="10" t="s">
        <v>119</v>
      </c>
      <c r="B63" s="28">
        <v>28000000</v>
      </c>
      <c r="C63" s="2" t="s">
        <v>0</v>
      </c>
      <c r="D63" s="3">
        <f>B63*6.894757</f>
        <v>193053196</v>
      </c>
      <c r="E63" s="7" t="s">
        <v>120</v>
      </c>
      <c r="F63" s="174" t="s">
        <v>121</v>
      </c>
      <c r="G63" s="175"/>
      <c r="H63" s="175"/>
      <c r="I63" s="175"/>
      <c r="J63" s="175"/>
      <c r="K63" s="176"/>
    </row>
    <row r="64" spans="1:11" ht="12.75">
      <c r="A64" s="10" t="s">
        <v>122</v>
      </c>
      <c r="B64" s="28">
        <v>2300</v>
      </c>
      <c r="C64" s="2" t="s">
        <v>0</v>
      </c>
      <c r="D64" s="3">
        <f>B64*6.894757</f>
        <v>15857.9411</v>
      </c>
      <c r="E64" s="7" t="s">
        <v>9</v>
      </c>
      <c r="F64" s="174" t="s">
        <v>123</v>
      </c>
      <c r="G64" s="175"/>
      <c r="H64" s="175"/>
      <c r="I64" s="175"/>
      <c r="J64" s="175"/>
      <c r="K64" s="176"/>
    </row>
    <row r="65" spans="1:11" ht="12.75">
      <c r="A65" s="10" t="s">
        <v>124</v>
      </c>
      <c r="B65" s="28">
        <v>20000</v>
      </c>
      <c r="C65" s="2" t="s">
        <v>0</v>
      </c>
      <c r="D65" s="3">
        <f>B65*6.894757</f>
        <v>137895.14</v>
      </c>
      <c r="E65" s="7" t="s">
        <v>9</v>
      </c>
      <c r="F65" s="174" t="s">
        <v>125</v>
      </c>
      <c r="G65" s="175"/>
      <c r="H65" s="175"/>
      <c r="I65" s="175"/>
      <c r="J65" s="175"/>
      <c r="K65" s="176"/>
    </row>
    <row r="66" spans="1:11" ht="12.75">
      <c r="A66" s="10"/>
      <c r="B66" s="25" t="s">
        <v>126</v>
      </c>
      <c r="C66" s="2" t="s">
        <v>117</v>
      </c>
      <c r="D66" s="3" t="s">
        <v>117</v>
      </c>
      <c r="E66" s="7" t="s">
        <v>117</v>
      </c>
      <c r="F66" s="174" t="s">
        <v>127</v>
      </c>
      <c r="G66" s="175"/>
      <c r="H66" s="175"/>
      <c r="I66" s="175"/>
      <c r="J66" s="175"/>
      <c r="K66" s="176"/>
    </row>
    <row r="67" spans="1:11" ht="12.75">
      <c r="A67" s="10" t="s">
        <v>128</v>
      </c>
      <c r="B67" s="28">
        <v>2300</v>
      </c>
      <c r="C67" s="2" t="s">
        <v>0</v>
      </c>
      <c r="D67" s="3">
        <f>B67*6.894757</f>
        <v>15857.9411</v>
      </c>
      <c r="E67" s="7" t="s">
        <v>9</v>
      </c>
      <c r="F67" s="174" t="s">
        <v>129</v>
      </c>
      <c r="G67" s="175"/>
      <c r="H67" s="175"/>
      <c r="I67" s="175"/>
      <c r="J67" s="175"/>
      <c r="K67" s="176"/>
    </row>
    <row r="68" spans="1:11" ht="12.75">
      <c r="A68" s="10" t="s">
        <v>130</v>
      </c>
      <c r="B68" s="28">
        <v>20000</v>
      </c>
      <c r="C68" s="2" t="s">
        <v>0</v>
      </c>
      <c r="D68" s="3">
        <f>B68*6.894757</f>
        <v>137895.14</v>
      </c>
      <c r="E68" s="7" t="s">
        <v>9</v>
      </c>
      <c r="F68" s="174" t="s">
        <v>131</v>
      </c>
      <c r="G68" s="175"/>
      <c r="H68" s="175"/>
      <c r="I68" s="175"/>
      <c r="J68" s="175"/>
      <c r="K68" s="176"/>
    </row>
    <row r="69" spans="1:11" ht="12.75">
      <c r="A69" s="10" t="s">
        <v>132</v>
      </c>
      <c r="B69" s="14">
        <f>IF(B51="a",(B52+(0.5*B53)),IF(B51="b",((B55-B56)/2),IF(B51="c",((B55-B56)/2))))</f>
        <v>4.39175</v>
      </c>
      <c r="C69" s="2" t="s">
        <v>47</v>
      </c>
      <c r="D69" s="3">
        <f>B69*25.4</f>
        <v>111.55045</v>
      </c>
      <c r="E69" s="7" t="s">
        <v>2</v>
      </c>
      <c r="F69" s="174" t="s">
        <v>133</v>
      </c>
      <c r="G69" s="175"/>
      <c r="H69" s="175"/>
      <c r="I69" s="175"/>
      <c r="J69" s="175"/>
      <c r="K69" s="176"/>
    </row>
    <row r="70" spans="1:11" ht="12.75">
      <c r="A70" s="10" t="s">
        <v>134</v>
      </c>
      <c r="B70" s="14">
        <f>IF(B51="a",((B52+B53+B71)/2),IF(B51="b",((B69+B71)/2),IF(B51="c",((B55-B24)/2))))</f>
        <v>4.411026695296636</v>
      </c>
      <c r="C70" s="2" t="s">
        <v>47</v>
      </c>
      <c r="D70" s="3">
        <f>B70*25.4</f>
        <v>112.04007806053454</v>
      </c>
      <c r="E70" s="7" t="s">
        <v>2</v>
      </c>
      <c r="F70" s="174" t="s">
        <v>135</v>
      </c>
      <c r="G70" s="175"/>
      <c r="H70" s="175"/>
      <c r="I70" s="175"/>
      <c r="J70" s="175"/>
      <c r="K70" s="176"/>
    </row>
    <row r="71" spans="1:11" ht="12.75">
      <c r="A71" s="10" t="s">
        <v>136</v>
      </c>
      <c r="B71" s="14">
        <f>(B55-B24)/2</f>
        <v>3.538553390593272</v>
      </c>
      <c r="C71" s="2" t="s">
        <v>47</v>
      </c>
      <c r="D71" s="3">
        <f>B71*25.4</f>
        <v>89.8792561210691</v>
      </c>
      <c r="E71" s="7" t="s">
        <v>2</v>
      </c>
      <c r="F71" s="174" t="s">
        <v>137</v>
      </c>
      <c r="G71" s="175"/>
      <c r="H71" s="175"/>
      <c r="I71" s="175"/>
      <c r="J71" s="175"/>
      <c r="K71" s="176"/>
    </row>
    <row r="72" spans="1:11" ht="12.75">
      <c r="A72" s="180" t="s">
        <v>138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2"/>
    </row>
    <row r="73" spans="1:11" ht="12.75">
      <c r="A73" s="10" t="s">
        <v>139</v>
      </c>
      <c r="B73" s="15">
        <f>3.1416*(B56^2)/4*B20</f>
        <v>78320.58820165794</v>
      </c>
      <c r="C73" s="2" t="s">
        <v>29</v>
      </c>
      <c r="D73" s="3">
        <f>B73*0.4535924</f>
        <v>35525.62357180171</v>
      </c>
      <c r="E73" s="7" t="s">
        <v>1</v>
      </c>
      <c r="F73" s="174" t="s">
        <v>140</v>
      </c>
      <c r="G73" s="175"/>
      <c r="H73" s="175"/>
      <c r="I73" s="175"/>
      <c r="J73" s="175"/>
      <c r="K73" s="176"/>
    </row>
    <row r="74" spans="1:11" ht="12.75">
      <c r="A74" s="10" t="s">
        <v>141</v>
      </c>
      <c r="B74" s="15">
        <f>B25-B73</f>
        <v>16139.281942445392</v>
      </c>
      <c r="C74" s="2" t="s">
        <v>29</v>
      </c>
      <c r="D74" s="3">
        <f>B74*0.4535924</f>
        <v>7320.655630550467</v>
      </c>
      <c r="E74" s="7" t="s">
        <v>1</v>
      </c>
      <c r="F74" s="174" t="s">
        <v>142</v>
      </c>
      <c r="G74" s="175"/>
      <c r="H74" s="175"/>
      <c r="I74" s="175"/>
      <c r="J74" s="175"/>
      <c r="K74" s="176"/>
    </row>
    <row r="75" spans="1:11" ht="21" customHeight="1">
      <c r="A75" s="10" t="s">
        <v>143</v>
      </c>
      <c r="B75" s="15">
        <f>B44-B25</f>
        <v>14746.89566080767</v>
      </c>
      <c r="C75" s="2" t="s">
        <v>29</v>
      </c>
      <c r="D75" s="3">
        <f>B75*0.4535924</f>
        <v>6689.079795335337</v>
      </c>
      <c r="E75" s="7" t="s">
        <v>1</v>
      </c>
      <c r="F75" s="174" t="s">
        <v>144</v>
      </c>
      <c r="G75" s="175"/>
      <c r="H75" s="175"/>
      <c r="I75" s="175"/>
      <c r="J75" s="175"/>
      <c r="K75" s="176"/>
    </row>
    <row r="76" spans="1:11" ht="12.75">
      <c r="A76" s="10" t="s">
        <v>145</v>
      </c>
      <c r="B76" s="15">
        <f>B73*B69</f>
        <v>343964.44323463127</v>
      </c>
      <c r="C76" s="2" t="s">
        <v>56</v>
      </c>
      <c r="D76" s="3">
        <f>B76*0.1152124</f>
        <v>39628.969019725635</v>
      </c>
      <c r="E76" s="7" t="s">
        <v>57</v>
      </c>
      <c r="F76" s="174" t="s">
        <v>146</v>
      </c>
      <c r="G76" s="175"/>
      <c r="H76" s="175"/>
      <c r="I76" s="175"/>
      <c r="J76" s="175"/>
      <c r="K76" s="176"/>
    </row>
    <row r="77" spans="1:11" ht="12.75">
      <c r="A77" s="10" t="s">
        <v>147</v>
      </c>
      <c r="B77" s="15">
        <f>B74*B70</f>
        <v>71190.80349104558</v>
      </c>
      <c r="C77" s="2" t="s">
        <v>56</v>
      </c>
      <c r="D77" s="3">
        <f>B77*0.1152124</f>
        <v>8202.06332813174</v>
      </c>
      <c r="E77" s="7" t="s">
        <v>57</v>
      </c>
      <c r="F77" s="174" t="s">
        <v>148</v>
      </c>
      <c r="G77" s="175"/>
      <c r="H77" s="175"/>
      <c r="I77" s="175"/>
      <c r="J77" s="175"/>
      <c r="K77" s="176"/>
    </row>
    <row r="78" spans="1:11" ht="12.75">
      <c r="A78" s="10" t="s">
        <v>149</v>
      </c>
      <c r="B78" s="15">
        <f>B75*B71</f>
        <v>52182.67764127619</v>
      </c>
      <c r="C78" s="2" t="s">
        <v>56</v>
      </c>
      <c r="D78" s="3">
        <f>B78*0.1152124</f>
        <v>6012.09152947777</v>
      </c>
      <c r="E78" s="7" t="s">
        <v>57</v>
      </c>
      <c r="F78" s="174" t="s">
        <v>150</v>
      </c>
      <c r="G78" s="175"/>
      <c r="H78" s="175"/>
      <c r="I78" s="175"/>
      <c r="J78" s="175"/>
      <c r="K78" s="176"/>
    </row>
    <row r="79" spans="1:11" ht="12.75">
      <c r="A79" s="10" t="s">
        <v>151</v>
      </c>
      <c r="B79" s="15">
        <f>SUM(B76:B78)</f>
        <v>467337.924366953</v>
      </c>
      <c r="C79" s="2" t="s">
        <v>56</v>
      </c>
      <c r="D79" s="3">
        <f>B79*0.1152124</f>
        <v>53843.12387733514</v>
      </c>
      <c r="E79" s="7" t="s">
        <v>57</v>
      </c>
      <c r="F79" s="174" t="s">
        <v>152</v>
      </c>
      <c r="G79" s="175"/>
      <c r="H79" s="175"/>
      <c r="I79" s="175"/>
      <c r="J79" s="175"/>
      <c r="K79" s="176"/>
    </row>
    <row r="80" spans="1:11" ht="12.75">
      <c r="A80" s="10" t="s">
        <v>153</v>
      </c>
      <c r="B80" s="32">
        <f>IF(B51="a",(B211*B79)/(B221*(B53^2)*B56),0)</f>
        <v>3379.1406067694365</v>
      </c>
      <c r="C80" s="13" t="s">
        <v>0</v>
      </c>
      <c r="D80" s="3">
        <f>B80*6.894757</f>
        <v>23298.35335250782</v>
      </c>
      <c r="E80" s="7" t="s">
        <v>9</v>
      </c>
      <c r="F80" s="174" t="s">
        <v>154</v>
      </c>
      <c r="G80" s="175"/>
      <c r="H80" s="175"/>
      <c r="I80" s="175"/>
      <c r="J80" s="175"/>
      <c r="K80" s="176"/>
    </row>
    <row r="81" spans="1:11" ht="12.75">
      <c r="A81" s="10" t="s">
        <v>155</v>
      </c>
      <c r="B81" s="32">
        <f>IF(B51="a",(((1.33*B61*B60)+1)*B79)/(B221*(B61^2)*B56),0)</f>
        <v>1225.1911053303982</v>
      </c>
      <c r="C81" s="13" t="s">
        <v>0</v>
      </c>
      <c r="D81" s="3">
        <f>B81*6.894757</f>
        <v>8447.394949814501</v>
      </c>
      <c r="E81" s="7" t="s">
        <v>9</v>
      </c>
      <c r="F81" s="174" t="s">
        <v>156</v>
      </c>
      <c r="G81" s="175"/>
      <c r="H81" s="175"/>
      <c r="I81" s="175"/>
      <c r="J81" s="175"/>
      <c r="K81" s="176"/>
    </row>
    <row r="82" spans="1:11" ht="21" customHeight="1">
      <c r="A82" s="10" t="s">
        <v>157</v>
      </c>
      <c r="B82" s="33">
        <f>IF(B51="a",((B215*B79)/((B61^2)*B56))-(B216*B81),(B215*B79)/((B61^2)*B56))</f>
        <v>1413.9614878318166</v>
      </c>
      <c r="C82" s="13" t="s">
        <v>0</v>
      </c>
      <c r="D82" s="3">
        <f>B82*6.894757</f>
        <v>9748.920865958833</v>
      </c>
      <c r="E82" s="7" t="s">
        <v>9</v>
      </c>
      <c r="F82" s="174" t="s">
        <v>158</v>
      </c>
      <c r="G82" s="175"/>
      <c r="H82" s="175"/>
      <c r="I82" s="175"/>
      <c r="J82" s="175"/>
      <c r="K82" s="176"/>
    </row>
    <row r="83" spans="1:11" ht="12.75">
      <c r="A83" s="183" t="s">
        <v>159</v>
      </c>
      <c r="B83" s="184"/>
      <c r="C83" s="185">
        <f>(B80+B81)/2</f>
        <v>2302.1658560499172</v>
      </c>
      <c r="D83" s="185"/>
      <c r="E83" s="17" t="s">
        <v>0</v>
      </c>
      <c r="F83" s="16">
        <f>C83*6.894757</f>
        <v>15872.87415116116</v>
      </c>
      <c r="G83" s="17" t="s">
        <v>9</v>
      </c>
      <c r="H83" s="177" t="s">
        <v>160</v>
      </c>
      <c r="I83" s="178"/>
      <c r="J83" s="178"/>
      <c r="K83" s="179"/>
    </row>
    <row r="84" spans="1:11" ht="12.75">
      <c r="A84" s="183" t="s">
        <v>161</v>
      </c>
      <c r="B84" s="184"/>
      <c r="C84" s="185">
        <f>(B80+B82)/2</f>
        <v>2396.5510473006266</v>
      </c>
      <c r="D84" s="185"/>
      <c r="E84" s="17" t="s">
        <v>0</v>
      </c>
      <c r="F84" s="16">
        <f>C84*6.894757</f>
        <v>16523.63710923333</v>
      </c>
      <c r="G84" s="17" t="s">
        <v>9</v>
      </c>
      <c r="H84" s="177" t="s">
        <v>160</v>
      </c>
      <c r="I84" s="178"/>
      <c r="J84" s="178"/>
      <c r="K84" s="179"/>
    </row>
    <row r="85" spans="1:11" ht="12.75">
      <c r="A85" s="180" t="s">
        <v>162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7"/>
    </row>
    <row r="86" spans="1:11" ht="12.75">
      <c r="A86" s="188" t="s">
        <v>163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2"/>
    </row>
    <row r="87" spans="1:11" ht="12.75">
      <c r="A87" s="188" t="s">
        <v>164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2"/>
    </row>
    <row r="88" spans="1:11" ht="12.75">
      <c r="A88" s="188" t="s">
        <v>165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2"/>
    </row>
    <row r="89" spans="1:11" ht="12.75">
      <c r="A89" s="188" t="s">
        <v>166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2"/>
    </row>
    <row r="90" spans="1:11" ht="12.75">
      <c r="A90" s="188" t="s">
        <v>167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2"/>
    </row>
    <row r="91" spans="1:11" ht="12.75">
      <c r="A91" s="183" t="s">
        <v>168</v>
      </c>
      <c r="B91" s="184"/>
      <c r="C91" s="29">
        <v>1</v>
      </c>
      <c r="D91" s="189" t="s">
        <v>169</v>
      </c>
      <c r="E91" s="189"/>
      <c r="F91" s="189"/>
      <c r="G91" s="189"/>
      <c r="H91" s="189"/>
      <c r="I91" s="189"/>
      <c r="J91" s="189"/>
      <c r="K91" s="190"/>
    </row>
    <row r="92" spans="1:11" ht="31.5" customHeight="1">
      <c r="A92" s="183" t="s">
        <v>170</v>
      </c>
      <c r="B92" s="184"/>
      <c r="C92" s="191">
        <f>IF(C91=1,MIN(1.5*B64,2.5*B67),IF(C91=2,MIN(1.5*B64,1.5*B67),IF(C91=3,MIN(1.5*B64,1.5*B67),IF(C91=4,"Não há tensão longitudinal"," "))))</f>
        <v>3450</v>
      </c>
      <c r="D92" s="191"/>
      <c r="E92" s="17" t="s">
        <v>0</v>
      </c>
      <c r="F92" s="18">
        <f>C92*6.894757</f>
        <v>23786.911650000002</v>
      </c>
      <c r="G92" s="17" t="s">
        <v>120</v>
      </c>
      <c r="H92" s="177" t="s">
        <v>171</v>
      </c>
      <c r="I92" s="178"/>
      <c r="J92" s="178"/>
      <c r="K92" s="179"/>
    </row>
    <row r="93" spans="1:11" ht="15.75" customHeight="1">
      <c r="A93" s="183" t="s">
        <v>172</v>
      </c>
      <c r="B93" s="184"/>
      <c r="C93" s="192">
        <f>IF(C91=4,"Não há tensão radial",B64)</f>
        <v>2300</v>
      </c>
      <c r="D93" s="193"/>
      <c r="E93" s="17" t="s">
        <v>0</v>
      </c>
      <c r="F93" s="18">
        <f>C93*6.894757</f>
        <v>15857.9411</v>
      </c>
      <c r="G93" s="7" t="s">
        <v>120</v>
      </c>
      <c r="H93" s="177" t="s">
        <v>122</v>
      </c>
      <c r="I93" s="178"/>
      <c r="J93" s="178"/>
      <c r="K93" s="179"/>
    </row>
    <row r="94" spans="1:11" ht="17.25" customHeight="1">
      <c r="A94" s="183" t="s">
        <v>173</v>
      </c>
      <c r="B94" s="184"/>
      <c r="C94" s="194">
        <f>B64</f>
        <v>2300</v>
      </c>
      <c r="D94" s="194"/>
      <c r="E94" s="17" t="s">
        <v>0</v>
      </c>
      <c r="F94" s="18">
        <f>C94*6.894757</f>
        <v>15857.9411</v>
      </c>
      <c r="G94" s="7" t="s">
        <v>120</v>
      </c>
      <c r="H94" s="177" t="s">
        <v>122</v>
      </c>
      <c r="I94" s="178"/>
      <c r="J94" s="178"/>
      <c r="K94" s="179"/>
    </row>
    <row r="95" spans="1:11" ht="12.75">
      <c r="A95" s="195" t="s">
        <v>174</v>
      </c>
      <c r="B95" s="196"/>
      <c r="C95" s="201" t="str">
        <f>IF(B80&lt;=C92,"A tensão longitudinal está Ok","A tensão longitudinal não passou")</f>
        <v>A tensão longitudinal está Ok</v>
      </c>
      <c r="D95" s="202"/>
      <c r="E95" s="202"/>
      <c r="F95" s="202"/>
      <c r="G95" s="202"/>
      <c r="H95" s="202"/>
      <c r="I95" s="202"/>
      <c r="J95" s="202"/>
      <c r="K95" s="203"/>
    </row>
    <row r="96" spans="1:11" ht="12.75">
      <c r="A96" s="197"/>
      <c r="B96" s="198"/>
      <c r="C96" s="201" t="str">
        <f>IF(B81&lt;=C93,"A tensão radial está Ok","A tensão radial não passou")</f>
        <v>A tensão radial está Ok</v>
      </c>
      <c r="D96" s="202"/>
      <c r="E96" s="202"/>
      <c r="F96" s="202"/>
      <c r="G96" s="202"/>
      <c r="H96" s="202"/>
      <c r="I96" s="202"/>
      <c r="J96" s="202"/>
      <c r="K96" s="203"/>
    </row>
    <row r="97" spans="1:11" ht="12.75">
      <c r="A97" s="197"/>
      <c r="B97" s="198"/>
      <c r="C97" s="201" t="str">
        <f>IF(B82&lt;=C94,"A tensão tangencial está Ok","A tensão tangencial não passou")</f>
        <v>A tensão tangencial está Ok</v>
      </c>
      <c r="D97" s="202"/>
      <c r="E97" s="202"/>
      <c r="F97" s="202"/>
      <c r="G97" s="202"/>
      <c r="H97" s="202"/>
      <c r="I97" s="202"/>
      <c r="J97" s="202"/>
      <c r="K97" s="203"/>
    </row>
    <row r="98" spans="1:11" ht="12.75">
      <c r="A98" s="197"/>
      <c r="B98" s="198"/>
      <c r="C98" s="201" t="str">
        <f>IF(C83&lt;=B64,"Ok, ((SHO+SRO)/2) é menor do que Sfp","Não passou: ((SHO+SRO)/2) é maior do que Sfp")</f>
        <v>Não passou: ((SHO+SRO)/2) é maior do que Sfp</v>
      </c>
      <c r="D98" s="202"/>
      <c r="E98" s="202"/>
      <c r="F98" s="202"/>
      <c r="G98" s="202"/>
      <c r="H98" s="202"/>
      <c r="I98" s="202"/>
      <c r="J98" s="202"/>
      <c r="K98" s="203"/>
    </row>
    <row r="99" spans="1:11" ht="12.75">
      <c r="A99" s="199"/>
      <c r="B99" s="200"/>
      <c r="C99" s="201" t="str">
        <f>IF(C84&lt;=B64,"Ok, ((SHO+STO)/2) é menor do que Sfp","Não passou: ((SHO+STO)/2) é mairo do que Sfp")</f>
        <v>Não passou: ((SHO+STO)/2) é mairo do que Sfp</v>
      </c>
      <c r="D99" s="202"/>
      <c r="E99" s="202"/>
      <c r="F99" s="202"/>
      <c r="G99" s="202"/>
      <c r="H99" s="202"/>
      <c r="I99" s="202"/>
      <c r="J99" s="202"/>
      <c r="K99" s="203"/>
    </row>
    <row r="100" spans="1:11" ht="12.75">
      <c r="A100" s="180" t="s">
        <v>175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2"/>
    </row>
    <row r="101" spans="1:11" ht="12.75">
      <c r="A101" s="10" t="s">
        <v>176</v>
      </c>
      <c r="B101" s="15">
        <f>B43*(B55-B24)/2</f>
        <v>3166987.1413424066</v>
      </c>
      <c r="C101" s="2" t="s">
        <v>56</v>
      </c>
      <c r="D101" s="16">
        <f>B101*0.1152124</f>
        <v>364876.18932319793</v>
      </c>
      <c r="E101" s="7" t="s">
        <v>57</v>
      </c>
      <c r="F101" s="174" t="s">
        <v>177</v>
      </c>
      <c r="G101" s="175"/>
      <c r="H101" s="175"/>
      <c r="I101" s="175"/>
      <c r="J101" s="175"/>
      <c r="K101" s="176"/>
    </row>
    <row r="102" spans="1:11" ht="12.75">
      <c r="A102" s="10" t="s">
        <v>178</v>
      </c>
      <c r="B102" s="32">
        <f>IF(B51="a",(B211*B101)/(B221*(B53^2)*B56),0)</f>
        <v>22899.26473423507</v>
      </c>
      <c r="C102" s="13" t="s">
        <v>0</v>
      </c>
      <c r="D102" s="16">
        <f>B102*6.894757</f>
        <v>157884.8658212204</v>
      </c>
      <c r="E102" s="7" t="s">
        <v>120</v>
      </c>
      <c r="F102" s="174" t="s">
        <v>179</v>
      </c>
      <c r="G102" s="175"/>
      <c r="H102" s="175"/>
      <c r="I102" s="175"/>
      <c r="J102" s="175"/>
      <c r="K102" s="176"/>
    </row>
    <row r="103" spans="1:11" ht="12.75">
      <c r="A103" s="10" t="s">
        <v>180</v>
      </c>
      <c r="B103" s="32">
        <f>IF(B51="a",(((1.33*B61*B60)+1)*B101)/(B221*(B61^2)*B56),0)</f>
        <v>8302.69548854709</v>
      </c>
      <c r="C103" s="13" t="s">
        <v>0</v>
      </c>
      <c r="D103" s="16">
        <f>B103*6.894757</f>
        <v>57245.06783852847</v>
      </c>
      <c r="E103" s="7" t="s">
        <v>120</v>
      </c>
      <c r="F103" s="174" t="s">
        <v>181</v>
      </c>
      <c r="G103" s="175"/>
      <c r="H103" s="175"/>
      <c r="I103" s="175"/>
      <c r="J103" s="175"/>
      <c r="K103" s="176"/>
    </row>
    <row r="104" spans="1:11" ht="24.75" customHeight="1">
      <c r="A104" s="10" t="s">
        <v>182</v>
      </c>
      <c r="B104" s="33">
        <f>IF(B51="a",((B215*B101)/((B61^2)*B56))-(B216*B103),(B215*B101)/((B61^2)*B56))</f>
        <v>9581.926945865886</v>
      </c>
      <c r="C104" s="13" t="s">
        <v>0</v>
      </c>
      <c r="D104" s="16">
        <f>B104*6.894757</f>
        <v>66065.05788349744</v>
      </c>
      <c r="E104" s="7" t="s">
        <v>120</v>
      </c>
      <c r="F104" s="174" t="s">
        <v>183</v>
      </c>
      <c r="G104" s="175"/>
      <c r="H104" s="175"/>
      <c r="I104" s="175"/>
      <c r="J104" s="175"/>
      <c r="K104" s="176"/>
    </row>
    <row r="105" spans="1:11" ht="12.75">
      <c r="A105" s="183" t="s">
        <v>184</v>
      </c>
      <c r="B105" s="184"/>
      <c r="C105" s="204">
        <f>(B102+B103)/2</f>
        <v>15600.98011139108</v>
      </c>
      <c r="D105" s="205"/>
      <c r="E105" s="17" t="s">
        <v>0</v>
      </c>
      <c r="F105" s="3">
        <f>C105*6.894757</f>
        <v>107564.96682987444</v>
      </c>
      <c r="G105" s="7" t="s">
        <v>120</v>
      </c>
      <c r="H105" s="177" t="s">
        <v>185</v>
      </c>
      <c r="I105" s="178"/>
      <c r="J105" s="178"/>
      <c r="K105" s="179"/>
    </row>
    <row r="106" spans="1:11" ht="12.75">
      <c r="A106" s="183" t="s">
        <v>186</v>
      </c>
      <c r="B106" s="184"/>
      <c r="C106" s="204">
        <f>(B102+B104)/2</f>
        <v>16240.595840050477</v>
      </c>
      <c r="D106" s="205"/>
      <c r="E106" s="17" t="s">
        <v>0</v>
      </c>
      <c r="F106" s="3">
        <f>C106*6.894757</f>
        <v>111974.96185235892</v>
      </c>
      <c r="G106" s="7" t="s">
        <v>120</v>
      </c>
      <c r="H106" s="177" t="s">
        <v>185</v>
      </c>
      <c r="I106" s="178"/>
      <c r="J106" s="178"/>
      <c r="K106" s="179"/>
    </row>
    <row r="107" spans="1:11" ht="12.75">
      <c r="A107" s="206" t="s">
        <v>187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8"/>
    </row>
    <row r="108" spans="1:11" ht="12.75">
      <c r="A108" s="195" t="s">
        <v>188</v>
      </c>
      <c r="B108" s="196"/>
      <c r="C108" s="201" t="str">
        <f>IF(B102&lt;=1.5*B65,"A tensão longitudinal está Ok","A tensão longitudinal não passou")</f>
        <v>A tensão longitudinal está Ok</v>
      </c>
      <c r="D108" s="202"/>
      <c r="E108" s="202"/>
      <c r="F108" s="202"/>
      <c r="G108" s="202"/>
      <c r="H108" s="202"/>
      <c r="I108" s="202"/>
      <c r="J108" s="202"/>
      <c r="K108" s="203"/>
    </row>
    <row r="109" spans="1:11" ht="12.75">
      <c r="A109" s="197"/>
      <c r="B109" s="198"/>
      <c r="C109" s="201" t="str">
        <f>IF(B103&lt;=B65,"A tensão radial está Ok","A tensão radial não passou")</f>
        <v>A tensão radial está Ok</v>
      </c>
      <c r="D109" s="202"/>
      <c r="E109" s="202"/>
      <c r="F109" s="202"/>
      <c r="G109" s="202"/>
      <c r="H109" s="202"/>
      <c r="I109" s="202"/>
      <c r="J109" s="202"/>
      <c r="K109" s="203"/>
    </row>
    <row r="110" spans="1:11" ht="12.75">
      <c r="A110" s="197"/>
      <c r="B110" s="198"/>
      <c r="C110" s="201" t="str">
        <f>IF(B104&lt;=B65,"A tensão tangencial está Ok","A tensão tangencial não passou")</f>
        <v>A tensão tangencial está Ok</v>
      </c>
      <c r="D110" s="202"/>
      <c r="E110" s="202"/>
      <c r="F110" s="202"/>
      <c r="G110" s="202"/>
      <c r="H110" s="202"/>
      <c r="I110" s="202"/>
      <c r="J110" s="202"/>
      <c r="K110" s="203"/>
    </row>
    <row r="111" spans="1:11" ht="12.75">
      <c r="A111" s="197"/>
      <c r="B111" s="198"/>
      <c r="C111" s="201" t="str">
        <f>IF(C105&lt;=B65,"Ok, ((SHA+SRA)/2) é menor do que Sff","Não passou: ((SHA+SRA)/2) é maior do que Sff")</f>
        <v>Ok, ((SHA+SRA)/2) é menor do que Sff</v>
      </c>
      <c r="D111" s="202"/>
      <c r="E111" s="202"/>
      <c r="F111" s="202"/>
      <c r="G111" s="202"/>
      <c r="H111" s="202"/>
      <c r="I111" s="202"/>
      <c r="J111" s="202"/>
      <c r="K111" s="203"/>
    </row>
    <row r="112" spans="1:11" ht="12.75">
      <c r="A112" s="199"/>
      <c r="B112" s="200"/>
      <c r="C112" s="201" t="str">
        <f>IF(C106&lt;=B65,"Ok, ((SHA+STA)/2) é menor do que Sff","Não passou: ((SHA+STA)/2) é maior do que Sff")</f>
        <v>Ok, ((SHA+STA)/2) é menor do que Sff</v>
      </c>
      <c r="D112" s="202"/>
      <c r="E112" s="202"/>
      <c r="F112" s="202"/>
      <c r="G112" s="202"/>
      <c r="H112" s="202"/>
      <c r="I112" s="202"/>
      <c r="J112" s="202"/>
      <c r="K112" s="203"/>
    </row>
    <row r="113" spans="1:11" ht="21.75" customHeight="1">
      <c r="A113" s="206" t="s">
        <v>189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10"/>
    </row>
    <row r="114" spans="1:13" ht="12.75">
      <c r="A114" s="10" t="s">
        <v>190</v>
      </c>
      <c r="B114" s="28">
        <v>25974.971627881976</v>
      </c>
      <c r="C114" s="2" t="s">
        <v>0</v>
      </c>
      <c r="D114" s="16">
        <f>B114*6.894757</f>
        <v>179091.11745614067</v>
      </c>
      <c r="E114" s="7" t="s">
        <v>120</v>
      </c>
      <c r="F114" s="174" t="s">
        <v>191</v>
      </c>
      <c r="G114" s="175"/>
      <c r="H114" s="175"/>
      <c r="I114" s="175"/>
      <c r="J114" s="175"/>
      <c r="K114" s="176"/>
      <c r="L114" s="34">
        <f>B116/B36</f>
        <v>34442.8123785715</v>
      </c>
      <c r="M114" s="34">
        <f>D116/B36</f>
        <v>15622.997929545956</v>
      </c>
    </row>
    <row r="115" spans="1:12" ht="12.75">
      <c r="A115" s="19" t="s">
        <v>192</v>
      </c>
      <c r="B115" s="20">
        <f>+B114*0.5</f>
        <v>12987.485813940988</v>
      </c>
      <c r="C115" s="2" t="s">
        <v>0</v>
      </c>
      <c r="D115" s="16">
        <f>B115*6.894757</f>
        <v>89545.55872807033</v>
      </c>
      <c r="E115" s="7" t="s">
        <v>120</v>
      </c>
      <c r="F115" s="174" t="s">
        <v>193</v>
      </c>
      <c r="G115" s="175"/>
      <c r="H115" s="175"/>
      <c r="I115" s="175"/>
      <c r="J115" s="175"/>
      <c r="K115" s="176"/>
      <c r="L115" s="28">
        <f>B116/B37/B36</f>
        <v>12987.485813940988</v>
      </c>
    </row>
    <row r="116" spans="1:11" ht="18.75" customHeight="1">
      <c r="A116" s="19" t="s">
        <v>194</v>
      </c>
      <c r="B116" s="16">
        <f>+B115*B37*B36</f>
        <v>1102169.996114288</v>
      </c>
      <c r="C116" s="2" t="s">
        <v>29</v>
      </c>
      <c r="D116" s="30">
        <f>B116*0.4535924</f>
        <v>499935.9337454706</v>
      </c>
      <c r="E116" s="7" t="s">
        <v>1</v>
      </c>
      <c r="F116" s="174" t="s">
        <v>195</v>
      </c>
      <c r="G116" s="175"/>
      <c r="H116" s="175"/>
      <c r="I116" s="175"/>
      <c r="J116" s="175"/>
      <c r="K116" s="176"/>
    </row>
    <row r="117" spans="1:11" ht="18" customHeight="1">
      <c r="A117" s="10" t="s">
        <v>196</v>
      </c>
      <c r="B117" s="15">
        <f>B116*(B55-B24)/2</f>
        <v>3900087.376760387</v>
      </c>
      <c r="C117" s="2" t="s">
        <v>56</v>
      </c>
      <c r="D117" s="16">
        <f>B117*0.1152124</f>
        <v>449338.4268862684</v>
      </c>
      <c r="E117" s="7" t="s">
        <v>57</v>
      </c>
      <c r="F117" s="174" t="s">
        <v>197</v>
      </c>
      <c r="G117" s="175"/>
      <c r="H117" s="175"/>
      <c r="I117" s="175"/>
      <c r="J117" s="175"/>
      <c r="K117" s="176"/>
    </row>
    <row r="118" spans="1:11" ht="20.25" customHeight="1">
      <c r="A118" s="10" t="s">
        <v>198</v>
      </c>
      <c r="B118" s="32">
        <f>IF(B51="a",(B211*B117)/(B221*(B53^2)*B56),0)</f>
        <v>28200.030294164244</v>
      </c>
      <c r="C118" s="13" t="s">
        <v>0</v>
      </c>
      <c r="D118" s="16">
        <f>B118*6.894757</f>
        <v>194432.356270901</v>
      </c>
      <c r="E118" s="7" t="s">
        <v>120</v>
      </c>
      <c r="F118" s="174" t="s">
        <v>199</v>
      </c>
      <c r="G118" s="175"/>
      <c r="H118" s="175"/>
      <c r="I118" s="175"/>
      <c r="J118" s="175"/>
      <c r="K118" s="176"/>
    </row>
    <row r="119" spans="1:11" ht="21" customHeight="1">
      <c r="A119" s="10" t="s">
        <v>200</v>
      </c>
      <c r="B119" s="32">
        <f>IF(B51="a",(((1.33*B61*B60)+1)*B117)/(B221*(B61^2)*B56),0)</f>
        <v>10224.61930623511</v>
      </c>
      <c r="C119" s="13" t="s">
        <v>0</v>
      </c>
      <c r="D119" s="16">
        <f>B119*6.894757</f>
        <v>70496.26553399967</v>
      </c>
      <c r="E119" s="7" t="s">
        <v>120</v>
      </c>
      <c r="F119" s="174" t="s">
        <v>201</v>
      </c>
      <c r="G119" s="175"/>
      <c r="H119" s="175"/>
      <c r="I119" s="175"/>
      <c r="J119" s="175"/>
      <c r="K119" s="176"/>
    </row>
    <row r="120" spans="1:11" ht="18" customHeight="1">
      <c r="A120" s="10" t="s">
        <v>202</v>
      </c>
      <c r="B120" s="33">
        <f>IF(B51="a",((B215*B117)/((B61^2)*B56))-(B216*B119),(B215*B117)/((B61^2)*B56))</f>
        <v>11799.969705835749</v>
      </c>
      <c r="C120" s="13" t="s">
        <v>0</v>
      </c>
      <c r="D120" s="16">
        <f>B120*6.894757</f>
        <v>81357.92372909897</v>
      </c>
      <c r="E120" s="7" t="s">
        <v>120</v>
      </c>
      <c r="F120" s="174" t="s">
        <v>203</v>
      </c>
      <c r="G120" s="175"/>
      <c r="H120" s="175"/>
      <c r="I120" s="175"/>
      <c r="J120" s="175"/>
      <c r="K120" s="176"/>
    </row>
    <row r="121" spans="1:11" ht="12.75">
      <c r="A121" s="183" t="s">
        <v>204</v>
      </c>
      <c r="B121" s="184"/>
      <c r="C121" s="211">
        <f>(B118+B119)/2</f>
        <v>19212.324800199676</v>
      </c>
      <c r="D121" s="211"/>
      <c r="E121" s="17" t="s">
        <v>0</v>
      </c>
      <c r="F121" s="16">
        <f>C121*6.894757</f>
        <v>132464.31090245032</v>
      </c>
      <c r="G121" s="7" t="s">
        <v>120</v>
      </c>
      <c r="H121" s="177" t="s">
        <v>185</v>
      </c>
      <c r="I121" s="178"/>
      <c r="J121" s="178"/>
      <c r="K121" s="179"/>
    </row>
    <row r="122" spans="1:11" ht="12.75">
      <c r="A122" s="183" t="s">
        <v>205</v>
      </c>
      <c r="B122" s="184"/>
      <c r="C122" s="211">
        <f>(B118+B120)/2</f>
        <v>19999.999999999996</v>
      </c>
      <c r="D122" s="211"/>
      <c r="E122" s="17" t="s">
        <v>0</v>
      </c>
      <c r="F122" s="16">
        <f>C122*6.894757</f>
        <v>137895.13999999998</v>
      </c>
      <c r="G122" s="7" t="s">
        <v>120</v>
      </c>
      <c r="H122" s="177" t="s">
        <v>185</v>
      </c>
      <c r="I122" s="178"/>
      <c r="J122" s="178"/>
      <c r="K122" s="179"/>
    </row>
    <row r="123" spans="1:11" ht="12.75">
      <c r="A123" s="206" t="s">
        <v>206</v>
      </c>
      <c r="B123" s="207"/>
      <c r="C123" s="207"/>
      <c r="D123" s="207"/>
      <c r="E123" s="207"/>
      <c r="F123" s="207"/>
      <c r="G123" s="207"/>
      <c r="H123" s="207"/>
      <c r="I123" s="207"/>
      <c r="J123" s="207"/>
      <c r="K123" s="208"/>
    </row>
    <row r="124" spans="1:11" ht="12.75">
      <c r="A124" s="195" t="s">
        <v>207</v>
      </c>
      <c r="B124" s="196"/>
      <c r="C124" s="201" t="str">
        <f>IF(B118&lt;=1.5*B65,"A tensão longitudinal está Ok","A tensão longitudinal não passou")</f>
        <v>A tensão longitudinal está Ok</v>
      </c>
      <c r="D124" s="202"/>
      <c r="E124" s="202"/>
      <c r="F124" s="202"/>
      <c r="G124" s="202"/>
      <c r="H124" s="202"/>
      <c r="I124" s="202"/>
      <c r="J124" s="202"/>
      <c r="K124" s="203"/>
    </row>
    <row r="125" spans="1:11" ht="12.75">
      <c r="A125" s="197"/>
      <c r="B125" s="198"/>
      <c r="C125" s="201" t="str">
        <f>IF(B119&lt;=B65,"A tensão radial está Ok","A tensão radial não passou")</f>
        <v>A tensão radial está Ok</v>
      </c>
      <c r="D125" s="202"/>
      <c r="E125" s="202"/>
      <c r="F125" s="202"/>
      <c r="G125" s="202"/>
      <c r="H125" s="202"/>
      <c r="I125" s="202"/>
      <c r="J125" s="202"/>
      <c r="K125" s="203"/>
    </row>
    <row r="126" spans="1:11" ht="12.75">
      <c r="A126" s="197"/>
      <c r="B126" s="198"/>
      <c r="C126" s="201" t="str">
        <f>IF(B120&lt;=B65,"A tensão tangencial está Ok","A tensão tangencial não passou")</f>
        <v>A tensão tangencial está Ok</v>
      </c>
      <c r="D126" s="202"/>
      <c r="E126" s="202"/>
      <c r="F126" s="202"/>
      <c r="G126" s="202"/>
      <c r="H126" s="202"/>
      <c r="I126" s="202"/>
      <c r="J126" s="202"/>
      <c r="K126" s="203"/>
    </row>
    <row r="127" spans="1:11" ht="12.75">
      <c r="A127" s="197"/>
      <c r="B127" s="198"/>
      <c r="C127" s="201" t="str">
        <f>IF(C121&lt;=B65,"Ok, ((SHI+SRI)/2) é menor do que Sff","Não passou: ((SHI+SRI)/2) é maior do que Sff")</f>
        <v>Ok, ((SHI+SRI)/2) é menor do que Sff</v>
      </c>
      <c r="D127" s="202"/>
      <c r="E127" s="202"/>
      <c r="F127" s="202"/>
      <c r="G127" s="202"/>
      <c r="H127" s="202"/>
      <c r="I127" s="202"/>
      <c r="J127" s="202"/>
      <c r="K127" s="203"/>
    </row>
    <row r="128" spans="1:11" ht="12.75">
      <c r="A128" s="199"/>
      <c r="B128" s="200"/>
      <c r="C128" s="201" t="str">
        <f>IF(C122&lt;=B65,"Ok, ((SHI+STI)/2) é menor do que Sff","Não passou: ((SHI+STI)/2) é maior do que Sff")</f>
        <v>Ok, ((SHI+STI)/2) é menor do que Sff</v>
      </c>
      <c r="D128" s="202"/>
      <c r="E128" s="202"/>
      <c r="F128" s="202"/>
      <c r="G128" s="202"/>
      <c r="H128" s="202"/>
      <c r="I128" s="202"/>
      <c r="J128" s="202"/>
      <c r="K128" s="203"/>
    </row>
    <row r="129" spans="1:11" ht="12.75">
      <c r="A129" s="180" t="s">
        <v>208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7"/>
    </row>
    <row r="130" spans="1:11" ht="12.75">
      <c r="A130" s="162" t="s">
        <v>365</v>
      </c>
      <c r="B130" s="163"/>
      <c r="C130" s="163"/>
      <c r="D130" s="163"/>
      <c r="E130" s="163"/>
      <c r="F130" s="163"/>
      <c r="G130" s="163"/>
      <c r="H130" s="163"/>
      <c r="I130" s="163"/>
      <c r="J130" s="163"/>
      <c r="K130" s="164"/>
    </row>
    <row r="131" spans="1:11" ht="12.75">
      <c r="A131" s="165" t="s">
        <v>209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7"/>
    </row>
    <row r="132" spans="1:11" ht="12.75">
      <c r="A132" s="165" t="s">
        <v>210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7"/>
    </row>
    <row r="133" spans="1:11" ht="12.75">
      <c r="A133" s="168" t="s">
        <v>211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70"/>
    </row>
    <row r="134" spans="1:11" ht="12.75">
      <c r="A134" s="21" t="s">
        <v>212</v>
      </c>
      <c r="B134" s="31" t="s">
        <v>92</v>
      </c>
      <c r="C134" s="212" t="s">
        <v>213</v>
      </c>
      <c r="D134" s="213"/>
      <c r="E134" s="213"/>
      <c r="F134" s="213"/>
      <c r="G134" s="213"/>
      <c r="H134" s="213"/>
      <c r="I134" s="213"/>
      <c r="J134" s="213"/>
      <c r="K134" s="214"/>
    </row>
    <row r="135" spans="1:11" ht="12.75">
      <c r="A135" s="154" t="s">
        <v>214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6"/>
    </row>
    <row r="136" spans="1:11" ht="12.75">
      <c r="A136" s="10" t="s">
        <v>151</v>
      </c>
      <c r="B136" s="35">
        <f>+B79</f>
        <v>467337.924366953</v>
      </c>
      <c r="C136" s="10" t="s">
        <v>215</v>
      </c>
      <c r="D136" s="16">
        <f>B136*0.1152124</f>
        <v>53843.12387733514</v>
      </c>
      <c r="E136" s="7" t="s">
        <v>57</v>
      </c>
      <c r="F136" s="171" t="s">
        <v>216</v>
      </c>
      <c r="G136" s="172"/>
      <c r="H136" s="172"/>
      <c r="I136" s="172"/>
      <c r="J136" s="172"/>
      <c r="K136" s="173"/>
    </row>
    <row r="137" spans="1:11" ht="18.75" customHeight="1">
      <c r="A137" s="10" t="s">
        <v>217</v>
      </c>
      <c r="B137" s="36">
        <f>(52.14*B136*B207)/(B221*B63*(B54^2)*B59*0.3)</f>
        <v>0.09144065592331752</v>
      </c>
      <c r="C137" s="13" t="s">
        <v>218</v>
      </c>
      <c r="D137" s="22">
        <f>B137</f>
        <v>0.09144065592331752</v>
      </c>
      <c r="E137" s="13" t="s">
        <v>218</v>
      </c>
      <c r="F137" s="174" t="s">
        <v>219</v>
      </c>
      <c r="G137" s="175"/>
      <c r="H137" s="175"/>
      <c r="I137" s="175"/>
      <c r="J137" s="175"/>
      <c r="K137" s="176"/>
    </row>
    <row r="138" spans="1:11" ht="21.75" customHeight="1">
      <c r="A138" s="1" t="s">
        <v>220</v>
      </c>
      <c r="B138" s="36">
        <f>(52.14*B136*B210)/(B222*B63*(B54^2)*B59*0.2)</f>
        <v>0.15252129602404568</v>
      </c>
      <c r="C138" s="2" t="s">
        <v>218</v>
      </c>
      <c r="D138" s="22">
        <f>B138</f>
        <v>0.15252129602404568</v>
      </c>
      <c r="E138" s="2" t="s">
        <v>218</v>
      </c>
      <c r="F138" s="148" t="s">
        <v>221</v>
      </c>
      <c r="G138" s="149"/>
      <c r="H138" s="149"/>
      <c r="I138" s="149"/>
      <c r="J138" s="149"/>
      <c r="K138" s="150"/>
    </row>
    <row r="139" spans="1:11" ht="18" customHeight="1">
      <c r="A139" s="10" t="s">
        <v>222</v>
      </c>
      <c r="B139" s="36">
        <f>(109.4*B136)/(B63*(B61^3)*(LN(B213))*0.2)</f>
        <v>0.4573964210534863</v>
      </c>
      <c r="C139" s="13" t="s">
        <v>218</v>
      </c>
      <c r="D139" s="22">
        <f>B139</f>
        <v>0.4573964210534863</v>
      </c>
      <c r="E139" s="13" t="s">
        <v>218</v>
      </c>
      <c r="F139" s="174" t="s">
        <v>223</v>
      </c>
      <c r="G139" s="175"/>
      <c r="H139" s="175"/>
      <c r="I139" s="175"/>
      <c r="J139" s="175"/>
      <c r="K139" s="176"/>
    </row>
    <row r="140" spans="1:11" ht="12.75">
      <c r="A140" s="1" t="s">
        <v>224</v>
      </c>
      <c r="B140" s="23">
        <f>IF(B134="a",B137,IF(B134="b",B138,IF(B134="c",B139)))</f>
        <v>0.09144065592331752</v>
      </c>
      <c r="C140" s="2" t="s">
        <v>14</v>
      </c>
      <c r="D140" s="22">
        <f>B140</f>
        <v>0.09144065592331752</v>
      </c>
      <c r="E140" s="2" t="s">
        <v>14</v>
      </c>
      <c r="F140" s="148" t="s">
        <v>225</v>
      </c>
      <c r="G140" s="149"/>
      <c r="H140" s="149"/>
      <c r="I140" s="149"/>
      <c r="J140" s="149"/>
      <c r="K140" s="150"/>
    </row>
    <row r="141" spans="1:11" ht="12.75" customHeight="1">
      <c r="A141" s="217" t="s">
        <v>226</v>
      </c>
      <c r="B141" s="218"/>
      <c r="C141" s="218"/>
      <c r="D141" s="218"/>
      <c r="E141" s="219"/>
      <c r="F141" s="220" t="str">
        <f>+IF(B140&lt;=1,"OK, os flanges tem rigidez suficiente","Reanalisar, os flanges não tem rigidez suficiente")</f>
        <v>OK, os flanges tem rigidez suficiente</v>
      </c>
      <c r="G141" s="221"/>
      <c r="H141" s="221"/>
      <c r="I141" s="221"/>
      <c r="J141" s="221"/>
      <c r="K141" s="222"/>
    </row>
    <row r="142" spans="1:11" ht="12.75">
      <c r="A142" s="154" t="s">
        <v>227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216"/>
    </row>
    <row r="143" spans="1:11" ht="12.75">
      <c r="A143" s="10" t="s">
        <v>176</v>
      </c>
      <c r="B143" s="35">
        <f>+B101</f>
        <v>3166987.1413424066</v>
      </c>
      <c r="C143" s="10" t="s">
        <v>215</v>
      </c>
      <c r="D143" s="16">
        <f>B143*0.1152124</f>
        <v>364876.18932319793</v>
      </c>
      <c r="E143" s="7" t="s">
        <v>57</v>
      </c>
      <c r="F143" s="171" t="s">
        <v>228</v>
      </c>
      <c r="G143" s="172"/>
      <c r="H143" s="172"/>
      <c r="I143" s="172"/>
      <c r="J143" s="172"/>
      <c r="K143" s="173"/>
    </row>
    <row r="144" spans="1:11" ht="19.5" customHeight="1">
      <c r="A144" s="10" t="s">
        <v>217</v>
      </c>
      <c r="B144" s="36">
        <f>(52.14*B143*B207)/(B221*B63*(B54^2)*B59*0.3)</f>
        <v>0.619661633276043</v>
      </c>
      <c r="C144" s="13" t="s">
        <v>218</v>
      </c>
      <c r="D144" s="22">
        <f>B144</f>
        <v>0.619661633276043</v>
      </c>
      <c r="E144" s="13" t="s">
        <v>218</v>
      </c>
      <c r="F144" s="174" t="s">
        <v>219</v>
      </c>
      <c r="G144" s="175"/>
      <c r="H144" s="175"/>
      <c r="I144" s="175"/>
      <c r="J144" s="175"/>
      <c r="K144" s="176"/>
    </row>
    <row r="145" spans="1:11" ht="18" customHeight="1">
      <c r="A145" s="1" t="s">
        <v>220</v>
      </c>
      <c r="B145" s="36">
        <f>(52.14*B143*B210)/(B222*B63*(B54^2)*B59*0.2)</f>
        <v>1.0335839616340543</v>
      </c>
      <c r="C145" s="2" t="s">
        <v>218</v>
      </c>
      <c r="D145" s="22">
        <f>B145</f>
        <v>1.0335839616340543</v>
      </c>
      <c r="E145" s="2" t="s">
        <v>218</v>
      </c>
      <c r="F145" s="148" t="s">
        <v>221</v>
      </c>
      <c r="G145" s="149"/>
      <c r="H145" s="149"/>
      <c r="I145" s="149"/>
      <c r="J145" s="149"/>
      <c r="K145" s="150"/>
    </row>
    <row r="146" spans="1:11" ht="24.75" customHeight="1">
      <c r="A146" s="10" t="s">
        <v>222</v>
      </c>
      <c r="B146" s="36">
        <f>(109.4*B143)/(B63*(B61^3)*(LN(B213))*0.2)</f>
        <v>3.0996170189582446</v>
      </c>
      <c r="C146" s="13" t="s">
        <v>218</v>
      </c>
      <c r="D146" s="22">
        <f>B146</f>
        <v>3.0996170189582446</v>
      </c>
      <c r="E146" s="13" t="s">
        <v>218</v>
      </c>
      <c r="F146" s="174" t="s">
        <v>223</v>
      </c>
      <c r="G146" s="175"/>
      <c r="H146" s="175"/>
      <c r="I146" s="175"/>
      <c r="J146" s="175"/>
      <c r="K146" s="176"/>
    </row>
    <row r="147" spans="1:11" ht="12.75">
      <c r="A147" s="1" t="s">
        <v>224</v>
      </c>
      <c r="B147" s="23">
        <f>IF(B134="a",B144,IF(B134="b",B145,IF(B134="c",B146)))</f>
        <v>0.619661633276043</v>
      </c>
      <c r="C147" s="2" t="s">
        <v>14</v>
      </c>
      <c r="D147" s="22">
        <f>B147</f>
        <v>0.619661633276043</v>
      </c>
      <c r="E147" s="2" t="s">
        <v>14</v>
      </c>
      <c r="F147" s="148" t="s">
        <v>229</v>
      </c>
      <c r="G147" s="149"/>
      <c r="H147" s="149"/>
      <c r="I147" s="149"/>
      <c r="J147" s="149"/>
      <c r="K147" s="150"/>
    </row>
    <row r="148" spans="1:11" ht="12.75" customHeight="1">
      <c r="A148" s="217" t="s">
        <v>226</v>
      </c>
      <c r="B148" s="218"/>
      <c r="C148" s="218"/>
      <c r="D148" s="218"/>
      <c r="E148" s="219"/>
      <c r="F148" s="220" t="str">
        <f>+IF(B147&lt;=1,"OK, os flanges tem rigidez suficiente","Reanalisar, os flanges não tem rigidez suficiente")</f>
        <v>OK, os flanges tem rigidez suficiente</v>
      </c>
      <c r="G148" s="221"/>
      <c r="H148" s="221"/>
      <c r="I148" s="221"/>
      <c r="J148" s="221"/>
      <c r="K148" s="222"/>
    </row>
    <row r="149" spans="1:11" ht="12.75">
      <c r="A149" s="154" t="s">
        <v>230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6"/>
    </row>
    <row r="150" spans="1:11" ht="12.75">
      <c r="A150" s="10" t="s">
        <v>196</v>
      </c>
      <c r="B150" s="35">
        <f>+B117</f>
        <v>3900087.376760387</v>
      </c>
      <c r="C150" s="10" t="s">
        <v>215</v>
      </c>
      <c r="D150" s="16">
        <f>B150*0.1152124</f>
        <v>449338.4268862684</v>
      </c>
      <c r="E150" s="7" t="s">
        <v>57</v>
      </c>
      <c r="F150" s="171" t="s">
        <v>231</v>
      </c>
      <c r="G150" s="172"/>
      <c r="H150" s="172"/>
      <c r="I150" s="172"/>
      <c r="J150" s="172"/>
      <c r="K150" s="173"/>
    </row>
    <row r="151" spans="1:11" ht="24.75" customHeight="1">
      <c r="A151" s="10" t="s">
        <v>217</v>
      </c>
      <c r="B151" s="36">
        <f>(52.14*B150*B207)/(B221*B63*(B54^2)*B59*0.3)</f>
        <v>0.7631020922864328</v>
      </c>
      <c r="C151" s="13" t="s">
        <v>218</v>
      </c>
      <c r="D151" s="22">
        <f>B151</f>
        <v>0.7631020922864328</v>
      </c>
      <c r="E151" s="13" t="s">
        <v>218</v>
      </c>
      <c r="F151" s="174" t="s">
        <v>219</v>
      </c>
      <c r="G151" s="175"/>
      <c r="H151" s="175"/>
      <c r="I151" s="175"/>
      <c r="J151" s="175"/>
      <c r="K151" s="176"/>
    </row>
    <row r="152" spans="1:11" ht="18.75" customHeight="1">
      <c r="A152" s="1" t="s">
        <v>220</v>
      </c>
      <c r="B152" s="36">
        <f>(52.14*B150*B210)/(B222*B63*(B54^2)*B59*0.2)</f>
        <v>1.2728399521957954</v>
      </c>
      <c r="C152" s="2" t="s">
        <v>218</v>
      </c>
      <c r="D152" s="22">
        <f>B152</f>
        <v>1.2728399521957954</v>
      </c>
      <c r="E152" s="2" t="s">
        <v>218</v>
      </c>
      <c r="F152" s="148" t="s">
        <v>221</v>
      </c>
      <c r="G152" s="149"/>
      <c r="H152" s="149"/>
      <c r="I152" s="149"/>
      <c r="J152" s="149"/>
      <c r="K152" s="150"/>
    </row>
    <row r="153" spans="1:11" ht="21.75" customHeight="1">
      <c r="A153" s="10" t="s">
        <v>222</v>
      </c>
      <c r="B153" s="36">
        <f>(109.4*B150)/(B63*(B61^3)*(LN(B213))*0.2)</f>
        <v>3.8171222897061026</v>
      </c>
      <c r="C153" s="13" t="s">
        <v>218</v>
      </c>
      <c r="D153" s="22">
        <f>B153</f>
        <v>3.8171222897061026</v>
      </c>
      <c r="E153" s="13" t="s">
        <v>218</v>
      </c>
      <c r="F153" s="174" t="s">
        <v>223</v>
      </c>
      <c r="G153" s="175"/>
      <c r="H153" s="175"/>
      <c r="I153" s="175"/>
      <c r="J153" s="175"/>
      <c r="K153" s="176"/>
    </row>
    <row r="154" spans="1:11" ht="12.75">
      <c r="A154" s="1" t="s">
        <v>224</v>
      </c>
      <c r="B154" s="23">
        <f>IF(B134="a",B151,IF(B134="b",B152,IF(B134="c",B153)))</f>
        <v>0.7631020922864328</v>
      </c>
      <c r="C154" s="2" t="s">
        <v>14</v>
      </c>
      <c r="D154" s="22">
        <f>B154</f>
        <v>0.7631020922864328</v>
      </c>
      <c r="E154" s="2" t="s">
        <v>14</v>
      </c>
      <c r="F154" s="148" t="s">
        <v>232</v>
      </c>
      <c r="G154" s="149"/>
      <c r="H154" s="149"/>
      <c r="I154" s="149"/>
      <c r="J154" s="149"/>
      <c r="K154" s="150"/>
    </row>
    <row r="155" spans="1:11" ht="12.75" customHeight="1">
      <c r="A155" s="217" t="s">
        <v>226</v>
      </c>
      <c r="B155" s="218"/>
      <c r="C155" s="218"/>
      <c r="D155" s="218"/>
      <c r="E155" s="219"/>
      <c r="F155" s="220" t="str">
        <f>+IF(B154&lt;=1,"OK, os flanges tem rigidez suficiente","Reanalisar, os flanges não tem rigidez suficiente")</f>
        <v>OK, os flanges tem rigidez suficiente</v>
      </c>
      <c r="G155" s="221"/>
      <c r="H155" s="221"/>
      <c r="I155" s="221"/>
      <c r="J155" s="221"/>
      <c r="K155" s="222"/>
    </row>
    <row r="156" spans="1:11" ht="12.75">
      <c r="A156" s="217"/>
      <c r="B156" s="218"/>
      <c r="C156" s="218"/>
      <c r="D156" s="218"/>
      <c r="E156" s="218"/>
      <c r="F156" s="218"/>
      <c r="G156" s="218"/>
      <c r="H156" s="218"/>
      <c r="I156" s="218"/>
      <c r="J156" s="218"/>
      <c r="K156" s="219"/>
    </row>
    <row r="157" spans="1:11" ht="12.75">
      <c r="A157" s="217"/>
      <c r="B157" s="218"/>
      <c r="C157" s="218"/>
      <c r="D157" s="218"/>
      <c r="E157" s="218"/>
      <c r="F157" s="218"/>
      <c r="G157" s="218"/>
      <c r="H157" s="218"/>
      <c r="I157" s="218"/>
      <c r="J157" s="218"/>
      <c r="K157" s="219"/>
    </row>
    <row r="158" spans="1:11" ht="12.75">
      <c r="A158" s="223" t="s">
        <v>233</v>
      </c>
      <c r="B158" s="224"/>
      <c r="C158" s="224"/>
      <c r="D158" s="224"/>
      <c r="E158" s="224"/>
      <c r="F158" s="224"/>
      <c r="G158" s="224"/>
      <c r="H158" s="224"/>
      <c r="I158" s="224"/>
      <c r="J158" s="224"/>
      <c r="K158" s="225"/>
    </row>
    <row r="159" spans="1:11" ht="12.75">
      <c r="A159" s="1" t="s">
        <v>108</v>
      </c>
      <c r="B159" s="36">
        <f>(B56*B54)^0.5</f>
        <v>5.15507547467603</v>
      </c>
      <c r="C159" s="2" t="s">
        <v>47</v>
      </c>
      <c r="D159" s="24">
        <f>B159*25.4</f>
        <v>130.93891705677115</v>
      </c>
      <c r="E159" s="7" t="s">
        <v>2</v>
      </c>
      <c r="F159" s="148" t="s">
        <v>234</v>
      </c>
      <c r="G159" s="149"/>
      <c r="H159" s="149"/>
      <c r="I159" s="149"/>
      <c r="J159" s="149"/>
      <c r="K159" s="150"/>
    </row>
    <row r="160" spans="1:11" ht="12.75">
      <c r="A160" s="1" t="s">
        <v>235</v>
      </c>
      <c r="B160" s="36">
        <f>(B53/B54)-1</f>
        <v>1.3780000000000001</v>
      </c>
      <c r="C160" s="2" t="s">
        <v>218</v>
      </c>
      <c r="D160" s="22">
        <f aca="true" t="shared" si="1" ref="D160:D221">B160</f>
        <v>1.3780000000000001</v>
      </c>
      <c r="E160" s="2" t="s">
        <v>218</v>
      </c>
      <c r="F160" s="148" t="s">
        <v>236</v>
      </c>
      <c r="G160" s="149"/>
      <c r="H160" s="149"/>
      <c r="I160" s="149"/>
      <c r="J160" s="149"/>
      <c r="K160" s="150"/>
    </row>
    <row r="161" spans="1:11" ht="12.75">
      <c r="A161" s="1" t="s">
        <v>237</v>
      </c>
      <c r="B161" s="36">
        <f>B53/B54</f>
        <v>2.378</v>
      </c>
      <c r="C161" s="2" t="s">
        <v>218</v>
      </c>
      <c r="D161" s="22">
        <f t="shared" si="1"/>
        <v>2.378</v>
      </c>
      <c r="E161" s="2" t="s">
        <v>218</v>
      </c>
      <c r="F161" s="148" t="s">
        <v>237</v>
      </c>
      <c r="G161" s="149"/>
      <c r="H161" s="149"/>
      <c r="I161" s="149"/>
      <c r="J161" s="149"/>
      <c r="K161" s="150"/>
    </row>
    <row r="162" spans="1:11" ht="12.75">
      <c r="A162" s="1" t="s">
        <v>238</v>
      </c>
      <c r="B162" s="36">
        <f>B58/B159</f>
        <v>1.0436316648376724</v>
      </c>
      <c r="C162" s="2" t="s">
        <v>218</v>
      </c>
      <c r="D162" s="22">
        <f t="shared" si="1"/>
        <v>1.0436316648376724</v>
      </c>
      <c r="E162" s="2" t="s">
        <v>218</v>
      </c>
      <c r="F162" s="148" t="s">
        <v>238</v>
      </c>
      <c r="G162" s="149"/>
      <c r="H162" s="149"/>
      <c r="I162" s="149"/>
      <c r="J162" s="149"/>
      <c r="K162" s="150"/>
    </row>
    <row r="163" spans="1:11" ht="12.75">
      <c r="A163" s="1" t="s">
        <v>239</v>
      </c>
      <c r="B163" s="36">
        <f>43.68*((B162)^4)</f>
        <v>51.81692298355611</v>
      </c>
      <c r="C163" s="2" t="s">
        <v>218</v>
      </c>
      <c r="D163" s="22">
        <f t="shared" si="1"/>
        <v>51.81692298355611</v>
      </c>
      <c r="E163" s="2" t="s">
        <v>218</v>
      </c>
      <c r="F163" s="148" t="s">
        <v>240</v>
      </c>
      <c r="G163" s="149"/>
      <c r="H163" s="149"/>
      <c r="I163" s="149"/>
      <c r="J163" s="149"/>
      <c r="K163" s="150"/>
    </row>
    <row r="164" spans="1:11" ht="12.75">
      <c r="A164" s="1" t="s">
        <v>241</v>
      </c>
      <c r="B164" s="36">
        <f>0.333333333333333+(B160/12)</f>
        <v>0.44816666666666666</v>
      </c>
      <c r="C164" s="2" t="s">
        <v>218</v>
      </c>
      <c r="D164" s="22">
        <f t="shared" si="1"/>
        <v>0.44816666666666666</v>
      </c>
      <c r="E164" s="2" t="s">
        <v>218</v>
      </c>
      <c r="F164" s="148" t="s">
        <v>242</v>
      </c>
      <c r="G164" s="149"/>
      <c r="H164" s="149"/>
      <c r="I164" s="149"/>
      <c r="J164" s="149"/>
      <c r="K164" s="150"/>
    </row>
    <row r="165" spans="1:11" ht="12.75">
      <c r="A165" s="1" t="s">
        <v>243</v>
      </c>
      <c r="B165" s="36">
        <f>(0.119047619047619)+(17*B160/336)</f>
        <v>0.1887678571428571</v>
      </c>
      <c r="C165" s="2" t="s">
        <v>218</v>
      </c>
      <c r="D165" s="22">
        <f t="shared" si="1"/>
        <v>0.1887678571428571</v>
      </c>
      <c r="E165" s="2" t="s">
        <v>218</v>
      </c>
      <c r="F165" s="148" t="s">
        <v>244</v>
      </c>
      <c r="G165" s="149"/>
      <c r="H165" s="149"/>
      <c r="I165" s="149"/>
      <c r="J165" s="149"/>
      <c r="K165" s="150"/>
    </row>
    <row r="166" spans="1:11" ht="12.75">
      <c r="A166" s="1" t="s">
        <v>245</v>
      </c>
      <c r="B166" s="36">
        <f>(0.00476190476190476)+(B160/360)</f>
        <v>0.008589682539682538</v>
      </c>
      <c r="C166" s="2" t="s">
        <v>218</v>
      </c>
      <c r="D166" s="22">
        <f t="shared" si="1"/>
        <v>0.008589682539682538</v>
      </c>
      <c r="E166" s="2" t="s">
        <v>218</v>
      </c>
      <c r="F166" s="148" t="s">
        <v>246</v>
      </c>
      <c r="G166" s="149"/>
      <c r="H166" s="149"/>
      <c r="I166" s="149"/>
      <c r="J166" s="149"/>
      <c r="K166" s="150"/>
    </row>
    <row r="167" spans="1:11" ht="12.75">
      <c r="A167" s="1" t="s">
        <v>247</v>
      </c>
      <c r="B167" s="36">
        <f>(0.0305555555555556)+(59*B160/5040)+((1+(3*B160))/B163)</f>
        <v>0.1457665047147861</v>
      </c>
      <c r="C167" s="2" t="s">
        <v>218</v>
      </c>
      <c r="D167" s="22">
        <f t="shared" si="1"/>
        <v>0.1457665047147861</v>
      </c>
      <c r="E167" s="2" t="s">
        <v>218</v>
      </c>
      <c r="F167" s="148" t="s">
        <v>248</v>
      </c>
      <c r="G167" s="149"/>
      <c r="H167" s="149"/>
      <c r="I167" s="149"/>
      <c r="J167" s="149"/>
      <c r="K167" s="150"/>
    </row>
    <row r="168" spans="1:11" ht="12.75">
      <c r="A168" s="1" t="s">
        <v>249</v>
      </c>
      <c r="B168" s="36">
        <f>(0.0111111111111111)+(5*B160/1008)-(((1+B160)^3)/B163)</f>
        <v>-0.24156944727993088</v>
      </c>
      <c r="C168" s="2" t="s">
        <v>218</v>
      </c>
      <c r="D168" s="22">
        <f t="shared" si="1"/>
        <v>-0.24156944727993088</v>
      </c>
      <c r="E168" s="2" t="s">
        <v>218</v>
      </c>
      <c r="F168" s="148" t="s">
        <v>250</v>
      </c>
      <c r="G168" s="149"/>
      <c r="H168" s="149"/>
      <c r="I168" s="149"/>
      <c r="J168" s="149"/>
      <c r="K168" s="150"/>
    </row>
    <row r="169" spans="1:11" ht="12.75">
      <c r="A169" s="1" t="s">
        <v>251</v>
      </c>
      <c r="B169" s="36">
        <f>(0.00833333333333333)+(17*B160/5040)+(1/B163)</f>
        <v>0.03228006364983991</v>
      </c>
      <c r="C169" s="2" t="s">
        <v>218</v>
      </c>
      <c r="D169" s="22">
        <f t="shared" si="1"/>
        <v>0.03228006364983991</v>
      </c>
      <c r="E169" s="2" t="s">
        <v>218</v>
      </c>
      <c r="F169" s="148" t="s">
        <v>252</v>
      </c>
      <c r="G169" s="149"/>
      <c r="H169" s="149"/>
      <c r="I169" s="149"/>
      <c r="J169" s="149"/>
      <c r="K169" s="150"/>
    </row>
    <row r="170" spans="1:11" ht="12.75">
      <c r="A170" s="1" t="s">
        <v>253</v>
      </c>
      <c r="B170" s="36">
        <f>(0.0775613275613276)+(51*B160/1232)+((8.57142857142857)+(225*B160/14)+(75*(B160^2)/7)+(5*(B160^3)/2))/B163</f>
        <v>1.2463017806122316</v>
      </c>
      <c r="C170" s="2" t="s">
        <v>218</v>
      </c>
      <c r="D170" s="22">
        <f t="shared" si="1"/>
        <v>1.2463017806122316</v>
      </c>
      <c r="E170" s="2" t="s">
        <v>218</v>
      </c>
      <c r="F170" s="148" t="s">
        <v>254</v>
      </c>
      <c r="G170" s="149"/>
      <c r="H170" s="149"/>
      <c r="I170" s="149"/>
      <c r="J170" s="149"/>
      <c r="K170" s="150"/>
    </row>
    <row r="171" spans="1:11" ht="12.75">
      <c r="A171" s="1" t="s">
        <v>255</v>
      </c>
      <c r="B171" s="36">
        <f>(0.00447330447330447)+(128*B160/45045)+((0.857142857142857+15*B160/7)+((12*(B160^2))/7)+((5*(B160^3))/11))/B163</f>
        <v>0.16769261831657953</v>
      </c>
      <c r="C171" s="2" t="s">
        <v>218</v>
      </c>
      <c r="D171" s="22">
        <f t="shared" si="1"/>
        <v>0.16769261831657953</v>
      </c>
      <c r="E171" s="2" t="s">
        <v>218</v>
      </c>
      <c r="F171" s="148" t="s">
        <v>256</v>
      </c>
      <c r="G171" s="149"/>
      <c r="H171" s="149"/>
      <c r="I171" s="149"/>
      <c r="J171" s="149"/>
      <c r="K171" s="150"/>
    </row>
    <row r="172" spans="1:11" ht="12.75">
      <c r="A172" s="1" t="s">
        <v>257</v>
      </c>
      <c r="B172" s="36">
        <f>(533/30240)+(653*B160/73920)+((0.5)+(33*B160/14)+(39*(B160^2)/28)+(25*(B160^3)/84))/B163</f>
        <v>0.16820498074850831</v>
      </c>
      <c r="C172" s="2" t="s">
        <v>218</v>
      </c>
      <c r="D172" s="22">
        <f t="shared" si="1"/>
        <v>0.16820498074850831</v>
      </c>
      <c r="E172" s="2" t="s">
        <v>218</v>
      </c>
      <c r="F172" s="148" t="s">
        <v>258</v>
      </c>
      <c r="G172" s="149"/>
      <c r="H172" s="149"/>
      <c r="I172" s="149"/>
      <c r="J172" s="149"/>
      <c r="K172" s="150"/>
    </row>
    <row r="173" spans="1:11" ht="12.75">
      <c r="A173" s="1" t="s">
        <v>259</v>
      </c>
      <c r="B173" s="36">
        <f>(0.00767195767195767)+(3*B160/704)-((0.5+33*B160/14)+(81*(B160^2)/28)+(13*(B160^3)/12))/B163</f>
        <v>-0.21950832317390104</v>
      </c>
      <c r="C173" s="2" t="s">
        <v>218</v>
      </c>
      <c r="D173" s="22">
        <f t="shared" si="1"/>
        <v>-0.21950832317390104</v>
      </c>
      <c r="E173" s="2" t="s">
        <v>218</v>
      </c>
      <c r="F173" s="148" t="s">
        <v>260</v>
      </c>
      <c r="G173" s="149"/>
      <c r="H173" s="149"/>
      <c r="I173" s="149"/>
      <c r="J173" s="149"/>
      <c r="K173" s="150"/>
    </row>
    <row r="174" spans="1:11" ht="12.75">
      <c r="A174" s="1" t="s">
        <v>261</v>
      </c>
      <c r="B174" s="36">
        <f>(0.00512566137566138)+(1763*B160/665280)+((0.5)+(6*B160/7)+(15*(B160^2)/28)+(5*(B160^3)/42))/B163</f>
        <v>0.06686476269608589</v>
      </c>
      <c r="C174" s="2" t="s">
        <v>218</v>
      </c>
      <c r="D174" s="22">
        <f t="shared" si="1"/>
        <v>0.06686476269608589</v>
      </c>
      <c r="E174" s="2" t="s">
        <v>218</v>
      </c>
      <c r="F174" s="148" t="s">
        <v>262</v>
      </c>
      <c r="G174" s="149"/>
      <c r="H174" s="149"/>
      <c r="I174" s="149"/>
      <c r="J174" s="149"/>
      <c r="K174" s="150"/>
    </row>
    <row r="175" spans="1:11" ht="12.75">
      <c r="A175" s="1" t="s">
        <v>263</v>
      </c>
      <c r="B175" s="36">
        <f>(0.000341880341880342)+(71*B160/300300)+((0.228571428571429)+(18*B160/35)+(156*(B160^2)/385)+(6*(B160^3)/55))/B163</f>
        <v>0.03911321238872653</v>
      </c>
      <c r="C175" s="2" t="s">
        <v>218</v>
      </c>
      <c r="D175" s="22">
        <f t="shared" si="1"/>
        <v>0.03911321238872653</v>
      </c>
      <c r="E175" s="2" t="s">
        <v>218</v>
      </c>
      <c r="F175" s="148" t="s">
        <v>264</v>
      </c>
      <c r="G175" s="149"/>
      <c r="H175" s="149"/>
      <c r="I175" s="149"/>
      <c r="J175" s="149"/>
      <c r="K175" s="150"/>
    </row>
    <row r="176" spans="1:11" ht="12.75">
      <c r="A176" s="1" t="s">
        <v>265</v>
      </c>
      <c r="B176" s="36">
        <f>(761/831600)+(937*B160/1663200)+((0.0285714285714286)+(6*B160/35)+(11*(B160^2)/70)+(3*(B160^3)/70))/B163</f>
        <v>0.014724598899281273</v>
      </c>
      <c r="C176" s="2" t="s">
        <v>218</v>
      </c>
      <c r="D176" s="22">
        <f t="shared" si="1"/>
        <v>0.014724598899281273</v>
      </c>
      <c r="E176" s="2" t="s">
        <v>218</v>
      </c>
      <c r="F176" s="148" t="s">
        <v>266</v>
      </c>
      <c r="G176" s="149"/>
      <c r="H176" s="149"/>
      <c r="I176" s="149"/>
      <c r="J176" s="149"/>
      <c r="K176" s="150"/>
    </row>
    <row r="177" spans="1:11" ht="12.75">
      <c r="A177" s="1" t="s">
        <v>267</v>
      </c>
      <c r="B177" s="36">
        <f>(197/415800)+(103*B160/332640)-((1/35)+(6*B160/35)+(17*(B160^2)/70)+((B160^3)/10))/B163</f>
        <v>-0.01815939389637697</v>
      </c>
      <c r="C177" s="2" t="s">
        <v>218</v>
      </c>
      <c r="D177" s="22">
        <f t="shared" si="1"/>
        <v>-0.01815939389637697</v>
      </c>
      <c r="E177" s="2" t="s">
        <v>218</v>
      </c>
      <c r="F177" s="148" t="s">
        <v>268</v>
      </c>
      <c r="G177" s="149"/>
      <c r="H177" s="149"/>
      <c r="I177" s="149"/>
      <c r="J177" s="149"/>
      <c r="K177" s="150"/>
    </row>
    <row r="178" spans="1:11" ht="12.75">
      <c r="A178" s="1" t="s">
        <v>269</v>
      </c>
      <c r="B178" s="36">
        <f>(233/831600)+(97*B160/554400)+((0.0285714285714286)+(3*B160/35)+((B160^2)/14)+(2*(B160^3)/105))/B163</f>
        <v>0.0069315724189885014</v>
      </c>
      <c r="C178" s="2" t="s">
        <v>218</v>
      </c>
      <c r="D178" s="22">
        <f t="shared" si="1"/>
        <v>0.0069315724189885014</v>
      </c>
      <c r="E178" s="2" t="s">
        <v>218</v>
      </c>
      <c r="F178" s="148" t="s">
        <v>270</v>
      </c>
      <c r="G178" s="149"/>
      <c r="H178" s="149"/>
      <c r="I178" s="149"/>
      <c r="J178" s="149"/>
      <c r="K178" s="150"/>
    </row>
    <row r="179" spans="1:11" ht="12.75">
      <c r="A179" s="1" t="s">
        <v>271</v>
      </c>
      <c r="B179" s="36">
        <f>(B164*B170*B175)+(B165*B171*B166)+(B166*B171*B165)-(((B166^2)*B170)+((B171^2)*B164)+((B165^2)*B175))</f>
        <v>0.008302032941374087</v>
      </c>
      <c r="C179" s="2" t="s">
        <v>218</v>
      </c>
      <c r="D179" s="22">
        <f t="shared" si="1"/>
        <v>0.008302032941374087</v>
      </c>
      <c r="E179" s="2" t="s">
        <v>218</v>
      </c>
      <c r="F179" s="148" t="s">
        <v>272</v>
      </c>
      <c r="G179" s="149"/>
      <c r="H179" s="149"/>
      <c r="I179" s="149"/>
      <c r="J179" s="149"/>
      <c r="K179" s="150"/>
    </row>
    <row r="180" spans="1:11" ht="12.75">
      <c r="A180" s="1" t="s">
        <v>273</v>
      </c>
      <c r="B180" s="36">
        <f>((B167*B170*B175)+(B165*B171*B176)+(B166*B171*B172)-((B176*B170*B166)+((B171^2)*B167)+(B175*B165*B172)))/B179</f>
        <v>0.2789002053365978</v>
      </c>
      <c r="C180" s="2" t="s">
        <v>218</v>
      </c>
      <c r="D180" s="22">
        <f t="shared" si="1"/>
        <v>0.2789002053365978</v>
      </c>
      <c r="E180" s="2" t="s">
        <v>218</v>
      </c>
      <c r="F180" s="148" t="s">
        <v>274</v>
      </c>
      <c r="G180" s="149"/>
      <c r="H180" s="149"/>
      <c r="I180" s="149"/>
      <c r="J180" s="149"/>
      <c r="K180" s="150"/>
    </row>
    <row r="181" spans="1:11" ht="12.75">
      <c r="A181" s="1" t="s">
        <v>275</v>
      </c>
      <c r="B181" s="36">
        <f>((B168*B170*B175)+(B165*B171*B177)+(B166*B171*B173)-((B177*B170*B166)+((B171^2)*B168)+(B175*B165*B173)))/B179</f>
        <v>-0.48886131206946126</v>
      </c>
      <c r="C181" s="2" t="s">
        <v>218</v>
      </c>
      <c r="D181" s="22">
        <f t="shared" si="1"/>
        <v>-0.48886131206946126</v>
      </c>
      <c r="E181" s="2" t="s">
        <v>218</v>
      </c>
      <c r="F181" s="148" t="s">
        <v>276</v>
      </c>
      <c r="G181" s="149"/>
      <c r="H181" s="149"/>
      <c r="I181" s="149"/>
      <c r="J181" s="149"/>
      <c r="K181" s="150"/>
    </row>
    <row r="182" spans="1:11" ht="12.75">
      <c r="A182" s="1" t="s">
        <v>277</v>
      </c>
      <c r="B182" s="36">
        <f>((B169*B170*B175)+(B165*B171*B178)+(B166*B171*B174)-((B178*B170*B166)+((B171^2)*B169)+(B175*B165*B174)))/B179</f>
        <v>0.04982565432701563</v>
      </c>
      <c r="C182" s="2" t="s">
        <v>218</v>
      </c>
      <c r="D182" s="22">
        <f t="shared" si="1"/>
        <v>0.04982565432701563</v>
      </c>
      <c r="E182" s="2" t="s">
        <v>218</v>
      </c>
      <c r="F182" s="148" t="s">
        <v>278</v>
      </c>
      <c r="G182" s="149"/>
      <c r="H182" s="149"/>
      <c r="I182" s="149"/>
      <c r="J182" s="149"/>
      <c r="K182" s="150"/>
    </row>
    <row r="183" spans="1:11" ht="12.75">
      <c r="A183" s="1" t="s">
        <v>279</v>
      </c>
      <c r="B183" s="36">
        <f>((B164*B172*B175)+(B167*B171*B166)+(B166*B176*B165)-(((B166^2)*B172)+(B176*B171*B164)+(B175*B167*B165)))/B179</f>
        <v>0.11889609758360904</v>
      </c>
      <c r="C183" s="2" t="s">
        <v>218</v>
      </c>
      <c r="D183" s="22">
        <f t="shared" si="1"/>
        <v>0.11889609758360904</v>
      </c>
      <c r="E183" s="2" t="s">
        <v>218</v>
      </c>
      <c r="F183" s="148" t="s">
        <v>280</v>
      </c>
      <c r="G183" s="149"/>
      <c r="H183" s="149"/>
      <c r="I183" s="149"/>
      <c r="J183" s="149"/>
      <c r="K183" s="150"/>
    </row>
    <row r="184" spans="1:11" ht="12.75">
      <c r="A184" s="1" t="s">
        <v>281</v>
      </c>
      <c r="B184" s="36">
        <f>((B164*B173*B175)+(B168*B171*B166)+(B166*B177*B165)-(((B166^2)*B173)+(B177*B171*B164)+(B175*B168*B165)))/B179</f>
        <v>-0.12776220557837872</v>
      </c>
      <c r="C184" s="2" t="s">
        <v>218</v>
      </c>
      <c r="D184" s="22">
        <f t="shared" si="1"/>
        <v>-0.12776220557837872</v>
      </c>
      <c r="E184" s="2" t="s">
        <v>218</v>
      </c>
      <c r="F184" s="148" t="s">
        <v>282</v>
      </c>
      <c r="G184" s="149"/>
      <c r="H184" s="149"/>
      <c r="I184" s="149"/>
      <c r="J184" s="149"/>
      <c r="K184" s="150"/>
    </row>
    <row r="185" spans="1:11" ht="12.75">
      <c r="A185" s="1" t="s">
        <v>283</v>
      </c>
      <c r="B185" s="36">
        <f>((B164*B174*B175)+(B169*B171*B166)+(B166*B178*B165)-(((B166^2)*B174)+(B178*B171*B164)+(B175*B169*B165)))/B179</f>
        <v>0.05608507662550672</v>
      </c>
      <c r="C185" s="2" t="s">
        <v>218</v>
      </c>
      <c r="D185" s="22">
        <f t="shared" si="1"/>
        <v>0.05608507662550672</v>
      </c>
      <c r="E185" s="2" t="s">
        <v>218</v>
      </c>
      <c r="F185" s="148" t="s">
        <v>284</v>
      </c>
      <c r="G185" s="149"/>
      <c r="H185" s="149"/>
      <c r="I185" s="149"/>
      <c r="J185" s="149"/>
      <c r="K185" s="150"/>
    </row>
    <row r="186" spans="1:11" ht="12.75">
      <c r="A186" s="1" t="s">
        <v>285</v>
      </c>
      <c r="B186" s="36">
        <f>((B164*B170*B176)+(B165*B172*B166)+(B167*B171*B165)-((B166*B170*B167)+(B171*B172*B164)+((B165^2)*B176)))/B179</f>
        <v>-0.19453946049249699</v>
      </c>
      <c r="C186" s="2" t="s">
        <v>218</v>
      </c>
      <c r="D186" s="22">
        <f t="shared" si="1"/>
        <v>-0.19453946049249699</v>
      </c>
      <c r="E186" s="2" t="s">
        <v>218</v>
      </c>
      <c r="F186" s="148" t="s">
        <v>286</v>
      </c>
      <c r="G186" s="149"/>
      <c r="H186" s="149"/>
      <c r="I186" s="149"/>
      <c r="J186" s="149"/>
      <c r="K186" s="150"/>
    </row>
    <row r="187" spans="1:11" ht="12.75">
      <c r="A187" s="1" t="s">
        <v>287</v>
      </c>
      <c r="B187" s="36">
        <f>((B164*B170*B177)+(B165*B173*B166)+(B168*B171*B165)-((B166*B170*B168)+(B171*B173*B164)+((B165^2)*B177)))/B179</f>
        <v>0.1908446762537791</v>
      </c>
      <c r="C187" s="2" t="s">
        <v>218</v>
      </c>
      <c r="D187" s="22">
        <f t="shared" si="1"/>
        <v>0.1908446762537791</v>
      </c>
      <c r="E187" s="2" t="s">
        <v>218</v>
      </c>
      <c r="F187" s="148" t="s">
        <v>288</v>
      </c>
      <c r="G187" s="149"/>
      <c r="H187" s="149"/>
      <c r="I187" s="149"/>
      <c r="J187" s="149"/>
      <c r="K187" s="150"/>
    </row>
    <row r="188" spans="1:11" ht="12.75">
      <c r="A188" s="1" t="s">
        <v>289</v>
      </c>
      <c r="B188" s="36">
        <f>((B164*B170*B178)+(B165*B174*B166)+(B169*B171*B165)-((B166*B170*B169)+(B171*B174*B164)+((B165^2)*B178)))/B179</f>
        <v>-0.07418126266371351</v>
      </c>
      <c r="C188" s="2" t="s">
        <v>218</v>
      </c>
      <c r="D188" s="22">
        <f t="shared" si="1"/>
        <v>-0.07418126266371351</v>
      </c>
      <c r="E188" s="2" t="s">
        <v>218</v>
      </c>
      <c r="F188" s="148" t="s">
        <v>290</v>
      </c>
      <c r="G188" s="149"/>
      <c r="H188" s="149"/>
      <c r="I188" s="149"/>
      <c r="J188" s="149"/>
      <c r="K188" s="150"/>
    </row>
    <row r="189" spans="1:11" ht="12.75">
      <c r="A189" s="1" t="s">
        <v>291</v>
      </c>
      <c r="B189" s="36">
        <f>-(1)*((B163/4)^0.25)</f>
        <v>-1.8971554036272875</v>
      </c>
      <c r="C189" s="2" t="s">
        <v>218</v>
      </c>
      <c r="D189" s="22">
        <f t="shared" si="1"/>
        <v>-1.8971554036272875</v>
      </c>
      <c r="E189" s="2" t="s">
        <v>218</v>
      </c>
      <c r="F189" s="148" t="s">
        <v>292</v>
      </c>
      <c r="G189" s="149"/>
      <c r="H189" s="149"/>
      <c r="I189" s="149"/>
      <c r="J189" s="149"/>
      <c r="K189" s="150"/>
    </row>
    <row r="190" spans="1:11" ht="12.75">
      <c r="A190" s="1" t="s">
        <v>293</v>
      </c>
      <c r="B190" s="36">
        <f>B183-B180-(0.416666666666667)+(B180*B189)</f>
        <v>-1.1057878060467423</v>
      </c>
      <c r="C190" s="2" t="s">
        <v>218</v>
      </c>
      <c r="D190" s="22">
        <f t="shared" si="1"/>
        <v>-1.1057878060467423</v>
      </c>
      <c r="E190" s="2" t="s">
        <v>218</v>
      </c>
      <c r="F190" s="148" t="s">
        <v>294</v>
      </c>
      <c r="G190" s="149"/>
      <c r="H190" s="149"/>
      <c r="I190" s="149"/>
      <c r="J190" s="149"/>
      <c r="K190" s="150"/>
    </row>
    <row r="191" spans="1:11" ht="12.75">
      <c r="A191" s="1" t="s">
        <v>295</v>
      </c>
      <c r="B191" s="36">
        <f>B185-B182-(0.0833333333333333)+(B182*B189)</f>
        <v>-0.17160092038060526</v>
      </c>
      <c r="C191" s="2" t="s">
        <v>218</v>
      </c>
      <c r="D191" s="22">
        <f t="shared" si="1"/>
        <v>-0.17160092038060526</v>
      </c>
      <c r="E191" s="2" t="s">
        <v>218</v>
      </c>
      <c r="F191" s="148" t="s">
        <v>296</v>
      </c>
      <c r="G191" s="149"/>
      <c r="H191" s="149"/>
      <c r="I191" s="149"/>
      <c r="J191" s="149"/>
      <c r="K191" s="150"/>
    </row>
    <row r="192" spans="1:11" ht="12.75">
      <c r="A192" s="1" t="s">
        <v>297</v>
      </c>
      <c r="B192" s="36">
        <f>(-1)*((B163/4)^0.5)</f>
        <v>-3.5991986255122166</v>
      </c>
      <c r="C192" s="2" t="s">
        <v>218</v>
      </c>
      <c r="D192" s="22">
        <f t="shared" si="1"/>
        <v>-3.5991986255122166</v>
      </c>
      <c r="E192" s="2" t="s">
        <v>218</v>
      </c>
      <c r="F192" s="148" t="s">
        <v>298</v>
      </c>
      <c r="G192" s="149"/>
      <c r="H192" s="149"/>
      <c r="I192" s="149"/>
      <c r="J192" s="149"/>
      <c r="K192" s="150"/>
    </row>
    <row r="193" spans="1:11" ht="12.75">
      <c r="A193" s="1" t="s">
        <v>299</v>
      </c>
      <c r="B193" s="36">
        <f>(-1)*((B163/4)^(3/4))</f>
        <v>-6.828239121118407</v>
      </c>
      <c r="C193" s="2" t="s">
        <v>218</v>
      </c>
      <c r="D193" s="22">
        <f t="shared" si="1"/>
        <v>-6.828239121118407</v>
      </c>
      <c r="E193" s="2" t="s">
        <v>218</v>
      </c>
      <c r="F193" s="148" t="s">
        <v>300</v>
      </c>
      <c r="G193" s="149"/>
      <c r="H193" s="149"/>
      <c r="I193" s="149"/>
      <c r="J193" s="149"/>
      <c r="K193" s="150"/>
    </row>
    <row r="194" spans="1:11" ht="12.75">
      <c r="A194" s="1" t="s">
        <v>301</v>
      </c>
      <c r="B194" s="36">
        <f>(3*B160/2)-(B180*B193)</f>
        <v>3.971397292967314</v>
      </c>
      <c r="C194" s="2" t="s">
        <v>218</v>
      </c>
      <c r="D194" s="22">
        <f t="shared" si="1"/>
        <v>3.971397292967314</v>
      </c>
      <c r="E194" s="2" t="s">
        <v>218</v>
      </c>
      <c r="F194" s="148" t="s">
        <v>302</v>
      </c>
      <c r="G194" s="149"/>
      <c r="H194" s="149"/>
      <c r="I194" s="149"/>
      <c r="J194" s="149"/>
      <c r="K194" s="150"/>
    </row>
    <row r="195" spans="1:11" ht="12.75">
      <c r="A195" s="1" t="s">
        <v>303</v>
      </c>
      <c r="B195" s="36">
        <f>0.5-(B182*B193)</f>
        <v>0.8402214821110507</v>
      </c>
      <c r="C195" s="2" t="s">
        <v>218</v>
      </c>
      <c r="D195" s="22">
        <f t="shared" si="1"/>
        <v>0.8402214821110507</v>
      </c>
      <c r="E195" s="2" t="s">
        <v>218</v>
      </c>
      <c r="F195" s="148" t="s">
        <v>304</v>
      </c>
      <c r="G195" s="149"/>
      <c r="H195" s="149"/>
      <c r="I195" s="149"/>
      <c r="J195" s="149"/>
      <c r="K195" s="150"/>
    </row>
    <row r="196" spans="1:11" ht="12.75">
      <c r="A196" s="1" t="s">
        <v>305</v>
      </c>
      <c r="B196" s="36">
        <f>(0.5*B189*B195)+(B191*B194*B192)-((0.5*B193*B191)+(B195*B190*B192))</f>
        <v>-2.2740834511232855</v>
      </c>
      <c r="C196" s="2" t="s">
        <v>218</v>
      </c>
      <c r="D196" s="22">
        <f t="shared" si="1"/>
        <v>-2.2740834511232855</v>
      </c>
      <c r="E196" s="2" t="s">
        <v>218</v>
      </c>
      <c r="F196" s="148" t="s">
        <v>306</v>
      </c>
      <c r="G196" s="149"/>
      <c r="H196" s="149"/>
      <c r="I196" s="149"/>
      <c r="J196" s="149"/>
      <c r="K196" s="150"/>
    </row>
    <row r="197" spans="1:11" ht="12.75">
      <c r="A197" s="1" t="s">
        <v>307</v>
      </c>
      <c r="B197" s="36">
        <f>0.0833333333333333+B181-B184-(B181*B189)</f>
        <v>-1.2052116529746533</v>
      </c>
      <c r="C197" s="2" t="s">
        <v>218</v>
      </c>
      <c r="D197" s="22">
        <f t="shared" si="1"/>
        <v>-1.2052116529746533</v>
      </c>
      <c r="E197" s="2" t="s">
        <v>218</v>
      </c>
      <c r="F197" s="148" t="s">
        <v>308</v>
      </c>
      <c r="G197" s="149"/>
      <c r="H197" s="149"/>
      <c r="I197" s="149"/>
      <c r="J197" s="149"/>
      <c r="K197" s="150"/>
    </row>
    <row r="198" spans="1:11" ht="14.25" customHeight="1">
      <c r="A198" s="1" t="s">
        <v>309</v>
      </c>
      <c r="B198" s="36">
        <f>(-1)*B181*((B163/4)^0.75)</f>
        <v>3.338061935873969</v>
      </c>
      <c r="C198" s="2" t="s">
        <v>218</v>
      </c>
      <c r="D198" s="22">
        <f t="shared" si="1"/>
        <v>3.338061935873969</v>
      </c>
      <c r="E198" s="2" t="s">
        <v>218</v>
      </c>
      <c r="F198" s="148" t="s">
        <v>310</v>
      </c>
      <c r="G198" s="149"/>
      <c r="H198" s="149"/>
      <c r="I198" s="149"/>
      <c r="J198" s="149"/>
      <c r="K198" s="150"/>
    </row>
    <row r="199" spans="1:11" ht="12.75">
      <c r="A199" s="1" t="s">
        <v>311</v>
      </c>
      <c r="B199" s="36">
        <f>((B191*B198*B192)-(B195*B197*B192))/B196</f>
        <v>0.6961205955354398</v>
      </c>
      <c r="C199" s="2" t="s">
        <v>218</v>
      </c>
      <c r="D199" s="22">
        <f t="shared" si="1"/>
        <v>0.6961205955354398</v>
      </c>
      <c r="E199" s="2" t="s">
        <v>218</v>
      </c>
      <c r="F199" s="148" t="s">
        <v>312</v>
      </c>
      <c r="G199" s="149"/>
      <c r="H199" s="149"/>
      <c r="I199" s="149"/>
      <c r="J199" s="149"/>
      <c r="K199" s="150"/>
    </row>
    <row r="200" spans="1:11" ht="12.75">
      <c r="A200" s="1" t="s">
        <v>313</v>
      </c>
      <c r="B200" s="36">
        <f>((0.5*B189*B198)+(B197*B194*B192)-((0.5*B193*B197)+(B198*B190*B192)))/B196</f>
        <v>1.468440153165248</v>
      </c>
      <c r="C200" s="2" t="s">
        <v>218</v>
      </c>
      <c r="D200" s="22">
        <f t="shared" si="1"/>
        <v>1.468440153165248</v>
      </c>
      <c r="E200" s="2" t="s">
        <v>218</v>
      </c>
      <c r="F200" s="148" t="s">
        <v>314</v>
      </c>
      <c r="G200" s="149"/>
      <c r="H200" s="149"/>
      <c r="I200" s="149"/>
      <c r="J200" s="149"/>
      <c r="K200" s="150"/>
    </row>
    <row r="201" spans="1:11" ht="12.75">
      <c r="A201" s="1" t="s">
        <v>315</v>
      </c>
      <c r="B201" s="36">
        <f>(B180*B199)+B181+(B182*B200)</f>
        <v>-0.22154714356407085</v>
      </c>
      <c r="C201" s="2" t="s">
        <v>218</v>
      </c>
      <c r="D201" s="22">
        <f t="shared" si="1"/>
        <v>-0.22154714356407085</v>
      </c>
      <c r="E201" s="2" t="s">
        <v>218</v>
      </c>
      <c r="F201" s="148" t="s">
        <v>316</v>
      </c>
      <c r="G201" s="149"/>
      <c r="H201" s="149"/>
      <c r="I201" s="149"/>
      <c r="J201" s="149"/>
      <c r="K201" s="150"/>
    </row>
    <row r="202" spans="1:11" ht="12.75">
      <c r="A202" s="1" t="s">
        <v>317</v>
      </c>
      <c r="B202" s="36">
        <f>(B183*B199)+B184+(B185*B200)</f>
        <v>0.03736139518860673</v>
      </c>
      <c r="C202" s="2" t="s">
        <v>218</v>
      </c>
      <c r="D202" s="22">
        <f t="shared" si="1"/>
        <v>0.03736139518860673</v>
      </c>
      <c r="E202" s="2" t="s">
        <v>218</v>
      </c>
      <c r="F202" s="148" t="s">
        <v>318</v>
      </c>
      <c r="G202" s="149"/>
      <c r="H202" s="149"/>
      <c r="I202" s="149"/>
      <c r="J202" s="149"/>
      <c r="K202" s="150"/>
    </row>
    <row r="203" spans="1:11" ht="12.75">
      <c r="A203" s="1" t="s">
        <v>319</v>
      </c>
      <c r="B203" s="36">
        <f>(B186*B199)+B187+(B188*B200)</f>
        <v>-0.05350899354729602</v>
      </c>
      <c r="C203" s="2" t="s">
        <v>218</v>
      </c>
      <c r="D203" s="22">
        <f t="shared" si="1"/>
        <v>-0.05350899354729602</v>
      </c>
      <c r="E203" s="2" t="s">
        <v>218</v>
      </c>
      <c r="F203" s="148" t="s">
        <v>320</v>
      </c>
      <c r="G203" s="149"/>
      <c r="H203" s="149"/>
      <c r="I203" s="149"/>
      <c r="J203" s="149"/>
      <c r="K203" s="150"/>
    </row>
    <row r="204" spans="1:11" ht="12.75">
      <c r="A204" s="1" t="s">
        <v>321</v>
      </c>
      <c r="B204" s="36">
        <f>0.25+(B200/12)+(B199/4)-(B203/5)-(3*B202/2)-B201</f>
        <v>0.7226070111382505</v>
      </c>
      <c r="C204" s="2" t="s">
        <v>218</v>
      </c>
      <c r="D204" s="22">
        <f t="shared" si="1"/>
        <v>0.7226070111382505</v>
      </c>
      <c r="E204" s="2" t="s">
        <v>218</v>
      </c>
      <c r="F204" s="148" t="s">
        <v>322</v>
      </c>
      <c r="G204" s="149"/>
      <c r="H204" s="149"/>
      <c r="I204" s="149"/>
      <c r="J204" s="149"/>
      <c r="K204" s="150"/>
    </row>
    <row r="205" spans="1:11" ht="12.75">
      <c r="A205" s="1" t="s">
        <v>323</v>
      </c>
      <c r="B205" s="36">
        <f>B201*(0.5+B160/6)+(B202*(0.25+(11*B160/84)))+(B203*((0.0142857142857143)+(B160/105)))</f>
        <v>-0.1470399202719367</v>
      </c>
      <c r="C205" s="2" t="s">
        <v>218</v>
      </c>
      <c r="D205" s="22">
        <f t="shared" si="1"/>
        <v>-0.1470399202719367</v>
      </c>
      <c r="E205" s="2" t="s">
        <v>218</v>
      </c>
      <c r="F205" s="148" t="s">
        <v>324</v>
      </c>
      <c r="G205" s="149"/>
      <c r="H205" s="149"/>
      <c r="I205" s="149"/>
      <c r="J205" s="149"/>
      <c r="K205" s="150"/>
    </row>
    <row r="206" spans="1:11" ht="12.75">
      <c r="A206" s="1" t="s">
        <v>325</v>
      </c>
      <c r="B206" s="36">
        <f>B205-(B199*((7/120)+(B160/36)+(3*B160/B163)))-(1/40)-(B160/72)-(B200*((1/60)+(B160/120)+(1/B163)))</f>
        <v>-0.3836445084008681</v>
      </c>
      <c r="C206" s="2" t="s">
        <v>218</v>
      </c>
      <c r="D206" s="22">
        <f t="shared" si="1"/>
        <v>-0.3836445084008681</v>
      </c>
      <c r="E206" s="2" t="s">
        <v>218</v>
      </c>
      <c r="F206" s="148" t="s">
        <v>326</v>
      </c>
      <c r="G206" s="149"/>
      <c r="H206" s="149"/>
      <c r="I206" s="149"/>
      <c r="J206" s="149"/>
      <c r="K206" s="150"/>
    </row>
    <row r="207" spans="1:11" ht="12.75">
      <c r="A207" s="1" t="s">
        <v>327</v>
      </c>
      <c r="B207" s="36">
        <f>B204/(((2.73/B163)^0.25)*((1+B160)^3))</f>
        <v>0.11216151411847923</v>
      </c>
      <c r="C207" s="2" t="s">
        <v>218</v>
      </c>
      <c r="D207" s="22">
        <f t="shared" si="1"/>
        <v>0.11216151411847923</v>
      </c>
      <c r="E207" s="2" t="s">
        <v>218</v>
      </c>
      <c r="F207" s="148" t="s">
        <v>328</v>
      </c>
      <c r="G207" s="149"/>
      <c r="H207" s="149"/>
      <c r="I207" s="149"/>
      <c r="J207" s="149"/>
      <c r="K207" s="150"/>
    </row>
    <row r="208" spans="1:11" ht="12.75">
      <c r="A208" s="1" t="s">
        <v>329</v>
      </c>
      <c r="B208" s="36">
        <f>-(1)*B206/(((B163/2.73)^0.25)*(((1+B160)^3)/B163))</f>
        <v>0.7082520036735706</v>
      </c>
      <c r="C208" s="2" t="s">
        <v>218</v>
      </c>
      <c r="D208" s="22">
        <f t="shared" si="1"/>
        <v>0.7082520036735706</v>
      </c>
      <c r="E208" s="2" t="s">
        <v>218</v>
      </c>
      <c r="F208" s="148" t="s">
        <v>330</v>
      </c>
      <c r="G208" s="149"/>
      <c r="H208" s="149"/>
      <c r="I208" s="149"/>
      <c r="J208" s="149"/>
      <c r="K208" s="150"/>
    </row>
    <row r="209" spans="1:11" ht="21.75" customHeight="1">
      <c r="A209" s="10" t="s">
        <v>331</v>
      </c>
      <c r="B209" s="36">
        <f>-(1)*((B181*(0.5+(B160/6)))+(B184*(0.25+(11*B160/84)))+(B187*((1/70)+(B160/105)))-((1/40)+(B160/72)))/(((B163/2.73)^0.25)*(((1+B160)^3)/B163))</f>
        <v>0.8318766884234372</v>
      </c>
      <c r="C209" s="13" t="s">
        <v>218</v>
      </c>
      <c r="D209" s="22">
        <f t="shared" si="1"/>
        <v>0.8318766884234372</v>
      </c>
      <c r="E209" s="13" t="s">
        <v>218</v>
      </c>
      <c r="F209" s="174" t="s">
        <v>332</v>
      </c>
      <c r="G209" s="175"/>
      <c r="H209" s="175"/>
      <c r="I209" s="175"/>
      <c r="J209" s="175"/>
      <c r="K209" s="176"/>
    </row>
    <row r="210" spans="1:11" ht="12.75">
      <c r="A210" s="1" t="s">
        <v>333</v>
      </c>
      <c r="B210" s="36">
        <f>(0.25-(B187/5)-(3*B184/2)-B181)/(((2.73/B163)^0.25)*((1+B160)^3))</f>
        <v>0.13850643573854624</v>
      </c>
      <c r="C210" s="13" t="s">
        <v>218</v>
      </c>
      <c r="D210" s="22">
        <f t="shared" si="1"/>
        <v>0.13850643573854624</v>
      </c>
      <c r="E210" s="13" t="s">
        <v>218</v>
      </c>
      <c r="F210" s="148" t="s">
        <v>334</v>
      </c>
      <c r="G210" s="149"/>
      <c r="H210" s="149"/>
      <c r="I210" s="149"/>
      <c r="J210" s="149"/>
      <c r="K210" s="150"/>
    </row>
    <row r="211" spans="1:11" ht="12.75">
      <c r="A211" s="1" t="s">
        <v>335</v>
      </c>
      <c r="B211" s="36">
        <f>IF((B199/(1+B160))&lt;1,1,(B199/(1+B160)))</f>
        <v>1</v>
      </c>
      <c r="C211" s="13" t="s">
        <v>218</v>
      </c>
      <c r="D211" s="22">
        <f t="shared" si="1"/>
        <v>1</v>
      </c>
      <c r="E211" s="13" t="s">
        <v>218</v>
      </c>
      <c r="F211" s="148" t="s">
        <v>336</v>
      </c>
      <c r="G211" s="149"/>
      <c r="H211" s="149"/>
      <c r="I211" s="149"/>
      <c r="J211" s="149"/>
      <c r="K211" s="150"/>
    </row>
    <row r="212" spans="1:11" ht="12.75">
      <c r="A212" s="1" t="s">
        <v>5</v>
      </c>
      <c r="B212" s="36">
        <f>((B213^2)*(1+8.55246*(LOG(B213,10)))-1)/((1.0472+(1.9448*(B213^2)))*(B213-1))</f>
        <v>1.749389964807307</v>
      </c>
      <c r="C212" s="2" t="s">
        <v>218</v>
      </c>
      <c r="D212" s="22">
        <f t="shared" si="1"/>
        <v>1.749389964807307</v>
      </c>
      <c r="E212" s="2" t="s">
        <v>218</v>
      </c>
      <c r="F212" s="148" t="s">
        <v>337</v>
      </c>
      <c r="G212" s="149"/>
      <c r="H212" s="149"/>
      <c r="I212" s="149"/>
      <c r="J212" s="149"/>
      <c r="K212" s="150"/>
    </row>
    <row r="213" spans="1:11" ht="12.75">
      <c r="A213" s="1" t="s">
        <v>338</v>
      </c>
      <c r="B213" s="36">
        <f>+B57/B56</f>
        <v>1.411111111111111</v>
      </c>
      <c r="C213" s="2" t="s">
        <v>218</v>
      </c>
      <c r="D213" s="22">
        <f t="shared" si="1"/>
        <v>1.411111111111111</v>
      </c>
      <c r="E213" s="2" t="s">
        <v>218</v>
      </c>
      <c r="F213" s="148" t="s">
        <v>339</v>
      </c>
      <c r="G213" s="149"/>
      <c r="H213" s="149"/>
      <c r="I213" s="149"/>
      <c r="J213" s="149"/>
      <c r="K213" s="150"/>
    </row>
    <row r="214" spans="1:11" ht="12.75">
      <c r="A214" s="1" t="s">
        <v>340</v>
      </c>
      <c r="B214" s="36">
        <f>((B213^2)*(1+8.55246*(LOG(B213,10)))-1)/(1.36136*((B213^2)-1)*(B213-1))</f>
        <v>6.37794109889393</v>
      </c>
      <c r="C214" s="2" t="s">
        <v>218</v>
      </c>
      <c r="D214" s="22">
        <f t="shared" si="1"/>
        <v>6.37794109889393</v>
      </c>
      <c r="E214" s="2" t="s">
        <v>218</v>
      </c>
      <c r="F214" s="148" t="s">
        <v>341</v>
      </c>
      <c r="G214" s="149"/>
      <c r="H214" s="149"/>
      <c r="I214" s="149"/>
      <c r="J214" s="149"/>
      <c r="K214" s="150"/>
    </row>
    <row r="215" spans="1:11" ht="12.75">
      <c r="A215" s="1" t="s">
        <v>342</v>
      </c>
      <c r="B215" s="36">
        <f>(1/(B213-1))*(0.66845+(5.7169*(B213^2)*(LOG(B213,10))/((B213^2)-1)))</f>
        <v>5.803939293783921</v>
      </c>
      <c r="C215" s="2" t="s">
        <v>218</v>
      </c>
      <c r="D215" s="22">
        <f t="shared" si="1"/>
        <v>5.803939293783921</v>
      </c>
      <c r="E215" s="2" t="s">
        <v>218</v>
      </c>
      <c r="F215" s="148" t="s">
        <v>343</v>
      </c>
      <c r="G215" s="149"/>
      <c r="H215" s="149"/>
      <c r="I215" s="149"/>
      <c r="J215" s="149"/>
      <c r="K215" s="150"/>
    </row>
    <row r="216" spans="1:11" ht="12.75">
      <c r="A216" s="1" t="s">
        <v>344</v>
      </c>
      <c r="B216" s="36">
        <f>((B213^2)+1)/((B213^2)-1)</f>
        <v>3.0176858886536313</v>
      </c>
      <c r="C216" s="2" t="s">
        <v>218</v>
      </c>
      <c r="D216" s="22">
        <f t="shared" si="1"/>
        <v>3.0176858886536313</v>
      </c>
      <c r="E216" s="2" t="s">
        <v>218</v>
      </c>
      <c r="F216" s="148" t="s">
        <v>345</v>
      </c>
      <c r="G216" s="149"/>
      <c r="H216" s="149"/>
      <c r="I216" s="149"/>
      <c r="J216" s="149"/>
      <c r="K216" s="150"/>
    </row>
    <row r="217" spans="1:11" ht="12.75">
      <c r="A217" s="1" t="s">
        <v>346</v>
      </c>
      <c r="B217" s="36">
        <f>B208/B159</f>
        <v>0.13738925979897132</v>
      </c>
      <c r="C217" s="2" t="s">
        <v>111</v>
      </c>
      <c r="D217" s="22">
        <f>B217/25.4</f>
        <v>0.005409025976337454</v>
      </c>
      <c r="E217" s="7" t="s">
        <v>112</v>
      </c>
      <c r="F217" s="148" t="s">
        <v>347</v>
      </c>
      <c r="G217" s="149"/>
      <c r="H217" s="149"/>
      <c r="I217" s="149"/>
      <c r="J217" s="149"/>
      <c r="K217" s="150"/>
    </row>
    <row r="218" spans="1:11" ht="12.75">
      <c r="A218" s="1" t="s">
        <v>348</v>
      </c>
      <c r="B218" s="36">
        <f>B209/B159</f>
        <v>0.16137041882509323</v>
      </c>
      <c r="C218" s="2" t="s">
        <v>111</v>
      </c>
      <c r="D218" s="22">
        <f>B218/25.4</f>
        <v>0.006353166095476112</v>
      </c>
      <c r="E218" s="7" t="s">
        <v>112</v>
      </c>
      <c r="F218" s="148" t="s">
        <v>349</v>
      </c>
      <c r="G218" s="149"/>
      <c r="H218" s="149"/>
      <c r="I218" s="149"/>
      <c r="J218" s="149"/>
      <c r="K218" s="150"/>
    </row>
    <row r="219" spans="1:11" ht="12.75">
      <c r="A219" s="1" t="s">
        <v>350</v>
      </c>
      <c r="B219" s="36">
        <f>(B214/B207)*B159*(B54^2)</f>
        <v>164.8899535450006</v>
      </c>
      <c r="C219" s="2" t="s">
        <v>351</v>
      </c>
      <c r="D219" s="24">
        <f>B219*25.4*25.4*25.4</f>
        <v>2702062.221698951</v>
      </c>
      <c r="E219" s="7" t="s">
        <v>352</v>
      </c>
      <c r="F219" s="148" t="s">
        <v>353</v>
      </c>
      <c r="G219" s="149"/>
      <c r="H219" s="149"/>
      <c r="I219" s="149"/>
      <c r="J219" s="149"/>
      <c r="K219" s="150"/>
    </row>
    <row r="220" spans="1:11" ht="12.75">
      <c r="A220" s="1" t="s">
        <v>354</v>
      </c>
      <c r="B220" s="36">
        <f>(B214/B210)*B159*(B54^2)</f>
        <v>133.52669682038476</v>
      </c>
      <c r="C220" s="2" t="s">
        <v>351</v>
      </c>
      <c r="D220" s="24">
        <f>B220*25.4*25.4*25.4</f>
        <v>2188110.5265042414</v>
      </c>
      <c r="E220" s="7" t="s">
        <v>352</v>
      </c>
      <c r="F220" s="148" t="s">
        <v>355</v>
      </c>
      <c r="G220" s="149"/>
      <c r="H220" s="149"/>
      <c r="I220" s="149"/>
      <c r="J220" s="149"/>
      <c r="K220" s="150"/>
    </row>
    <row r="221" spans="1:11" ht="12.75">
      <c r="A221" s="1" t="s">
        <v>356</v>
      </c>
      <c r="B221" s="36">
        <f>(((B61*B217)+1)/B212)+((B61^3)/B219)</f>
        <v>1.2270711402062138</v>
      </c>
      <c r="C221" s="2" t="s">
        <v>218</v>
      </c>
      <c r="D221" s="22">
        <f t="shared" si="1"/>
        <v>1.2270711402062138</v>
      </c>
      <c r="E221" s="2" t="s">
        <v>218</v>
      </c>
      <c r="F221" s="148" t="s">
        <v>357</v>
      </c>
      <c r="G221" s="149"/>
      <c r="H221" s="149"/>
      <c r="I221" s="149"/>
      <c r="J221" s="149"/>
      <c r="K221" s="150"/>
    </row>
    <row r="222" spans="1:11" ht="12.75">
      <c r="A222" s="1" t="s">
        <v>358</v>
      </c>
      <c r="B222" s="36">
        <f>(((B61*B218)+1)/B212)+((B61^3)/B220)</f>
        <v>1.3626864478499172</v>
      </c>
      <c r="C222" s="2" t="s">
        <v>218</v>
      </c>
      <c r="D222" s="22">
        <f>B222</f>
        <v>1.3626864478499172</v>
      </c>
      <c r="E222" s="2" t="s">
        <v>218</v>
      </c>
      <c r="F222" s="148" t="s">
        <v>359</v>
      </c>
      <c r="G222" s="149"/>
      <c r="H222" s="149"/>
      <c r="I222" s="149"/>
      <c r="J222" s="149"/>
      <c r="K222" s="150"/>
    </row>
  </sheetData>
  <sheetProtection password="C7F9" sheet="1" objects="1" scenarios="1"/>
  <mergeCells count="255">
    <mergeCell ref="A1:I1"/>
    <mergeCell ref="J1:K1"/>
    <mergeCell ref="A2:I2"/>
    <mergeCell ref="J2:K2"/>
    <mergeCell ref="A6:E6"/>
    <mergeCell ref="F6:K6"/>
    <mergeCell ref="A7:E7"/>
    <mergeCell ref="F7:K7"/>
    <mergeCell ref="A3:K3"/>
    <mergeCell ref="A4:K4"/>
    <mergeCell ref="A5:E5"/>
    <mergeCell ref="F5:K5"/>
    <mergeCell ref="A8:E8"/>
    <mergeCell ref="F8:K8"/>
    <mergeCell ref="A9:K9"/>
    <mergeCell ref="B10:C10"/>
    <mergeCell ref="D10:E10"/>
    <mergeCell ref="F10:K10"/>
    <mergeCell ref="F15:K15"/>
    <mergeCell ref="F16:K16"/>
    <mergeCell ref="F17:K17"/>
    <mergeCell ref="F18:K18"/>
    <mergeCell ref="F11:K11"/>
    <mergeCell ref="F12:K12"/>
    <mergeCell ref="F13:K13"/>
    <mergeCell ref="F14:K14"/>
    <mergeCell ref="F23:K23"/>
    <mergeCell ref="F24:K24"/>
    <mergeCell ref="F25:K25"/>
    <mergeCell ref="F26:K26"/>
    <mergeCell ref="F19:K19"/>
    <mergeCell ref="F20:K20"/>
    <mergeCell ref="F21:K21"/>
    <mergeCell ref="F22:K22"/>
    <mergeCell ref="A31:K31"/>
    <mergeCell ref="F32:K32"/>
    <mergeCell ref="F33:K33"/>
    <mergeCell ref="F34:K34"/>
    <mergeCell ref="F27:K27"/>
    <mergeCell ref="A28:K28"/>
    <mergeCell ref="F29:K29"/>
    <mergeCell ref="F30:K30"/>
    <mergeCell ref="F40:K40"/>
    <mergeCell ref="F41:K41"/>
    <mergeCell ref="A42:B42"/>
    <mergeCell ref="C42:K42"/>
    <mergeCell ref="F36:K36"/>
    <mergeCell ref="F37:K37"/>
    <mergeCell ref="F38:K38"/>
    <mergeCell ref="F39:K39"/>
    <mergeCell ref="A47:K47"/>
    <mergeCell ref="A48:K48"/>
    <mergeCell ref="A49:K49"/>
    <mergeCell ref="A50:K50"/>
    <mergeCell ref="F43:K43"/>
    <mergeCell ref="F44:K44"/>
    <mergeCell ref="F45:K45"/>
    <mergeCell ref="A46:K46"/>
    <mergeCell ref="F55:K55"/>
    <mergeCell ref="F56:K56"/>
    <mergeCell ref="F57:K57"/>
    <mergeCell ref="F58:K58"/>
    <mergeCell ref="C51:K51"/>
    <mergeCell ref="F52:K52"/>
    <mergeCell ref="F53:K53"/>
    <mergeCell ref="F54:K54"/>
    <mergeCell ref="F63:K63"/>
    <mergeCell ref="F64:K64"/>
    <mergeCell ref="F65:K65"/>
    <mergeCell ref="F66:K66"/>
    <mergeCell ref="F59:K59"/>
    <mergeCell ref="F60:K60"/>
    <mergeCell ref="F61:K61"/>
    <mergeCell ref="F62:K62"/>
    <mergeCell ref="F71:K71"/>
    <mergeCell ref="A72:K72"/>
    <mergeCell ref="F73:K73"/>
    <mergeCell ref="F74:K74"/>
    <mergeCell ref="F67:K67"/>
    <mergeCell ref="F68:K68"/>
    <mergeCell ref="F69:K69"/>
    <mergeCell ref="F70:K70"/>
    <mergeCell ref="F79:K79"/>
    <mergeCell ref="F80:K80"/>
    <mergeCell ref="F81:K81"/>
    <mergeCell ref="F82:K82"/>
    <mergeCell ref="F75:K75"/>
    <mergeCell ref="F76:K76"/>
    <mergeCell ref="F77:K77"/>
    <mergeCell ref="F78:K78"/>
    <mergeCell ref="A83:B83"/>
    <mergeCell ref="C83:D83"/>
    <mergeCell ref="H83:K83"/>
    <mergeCell ref="A84:B84"/>
    <mergeCell ref="C84:D84"/>
    <mergeCell ref="H84:K84"/>
    <mergeCell ref="A89:K89"/>
    <mergeCell ref="A90:K90"/>
    <mergeCell ref="A91:B91"/>
    <mergeCell ref="D91:K91"/>
    <mergeCell ref="A85:K85"/>
    <mergeCell ref="A86:K86"/>
    <mergeCell ref="A87:K87"/>
    <mergeCell ref="A88:K88"/>
    <mergeCell ref="C97:K97"/>
    <mergeCell ref="C98:K98"/>
    <mergeCell ref="C99:K99"/>
    <mergeCell ref="A92:B92"/>
    <mergeCell ref="C92:D92"/>
    <mergeCell ref="H92:K92"/>
    <mergeCell ref="A93:B93"/>
    <mergeCell ref="C93:D93"/>
    <mergeCell ref="H93:K93"/>
    <mergeCell ref="A100:K100"/>
    <mergeCell ref="F101:K101"/>
    <mergeCell ref="F102:K102"/>
    <mergeCell ref="F103:K103"/>
    <mergeCell ref="A94:B94"/>
    <mergeCell ref="C94:D94"/>
    <mergeCell ref="H94:K94"/>
    <mergeCell ref="A95:B99"/>
    <mergeCell ref="C95:K95"/>
    <mergeCell ref="C96:K96"/>
    <mergeCell ref="A106:B106"/>
    <mergeCell ref="C106:D106"/>
    <mergeCell ref="H106:K106"/>
    <mergeCell ref="A107:K107"/>
    <mergeCell ref="F104:K104"/>
    <mergeCell ref="A105:B105"/>
    <mergeCell ref="C105:D105"/>
    <mergeCell ref="H105:K105"/>
    <mergeCell ref="A108:B112"/>
    <mergeCell ref="C108:K108"/>
    <mergeCell ref="C109:K109"/>
    <mergeCell ref="C110:K110"/>
    <mergeCell ref="C111:K111"/>
    <mergeCell ref="C112:K112"/>
    <mergeCell ref="F117:K117"/>
    <mergeCell ref="F118:K118"/>
    <mergeCell ref="F119:K119"/>
    <mergeCell ref="F120:K120"/>
    <mergeCell ref="A113:K113"/>
    <mergeCell ref="F114:K114"/>
    <mergeCell ref="F115:K115"/>
    <mergeCell ref="F116:K116"/>
    <mergeCell ref="A121:B121"/>
    <mergeCell ref="C121:D121"/>
    <mergeCell ref="H121:K121"/>
    <mergeCell ref="A122:B122"/>
    <mergeCell ref="C122:D122"/>
    <mergeCell ref="H122:K122"/>
    <mergeCell ref="A123:K123"/>
    <mergeCell ref="A124:B128"/>
    <mergeCell ref="C124:K124"/>
    <mergeCell ref="C125:K125"/>
    <mergeCell ref="C126:K126"/>
    <mergeCell ref="C127:K127"/>
    <mergeCell ref="C128:K128"/>
    <mergeCell ref="A133:K133"/>
    <mergeCell ref="C134:K134"/>
    <mergeCell ref="A135:K135"/>
    <mergeCell ref="F136:K136"/>
    <mergeCell ref="A129:K129"/>
    <mergeCell ref="A130:K130"/>
    <mergeCell ref="A131:K131"/>
    <mergeCell ref="A132:K132"/>
    <mergeCell ref="A141:E141"/>
    <mergeCell ref="F141:K141"/>
    <mergeCell ref="A142:K142"/>
    <mergeCell ref="F143:K143"/>
    <mergeCell ref="F137:K137"/>
    <mergeCell ref="F138:K138"/>
    <mergeCell ref="F139:K139"/>
    <mergeCell ref="F140:K140"/>
    <mergeCell ref="A148:E148"/>
    <mergeCell ref="F148:K148"/>
    <mergeCell ref="A149:K149"/>
    <mergeCell ref="F150:K150"/>
    <mergeCell ref="F144:K144"/>
    <mergeCell ref="F145:K145"/>
    <mergeCell ref="F146:K146"/>
    <mergeCell ref="F147:K147"/>
    <mergeCell ref="A155:E155"/>
    <mergeCell ref="F155:K155"/>
    <mergeCell ref="A156:K156"/>
    <mergeCell ref="A157:K157"/>
    <mergeCell ref="F151:K151"/>
    <mergeCell ref="F152:K152"/>
    <mergeCell ref="F153:K153"/>
    <mergeCell ref="F154:K154"/>
    <mergeCell ref="F162:K162"/>
    <mergeCell ref="F163:K163"/>
    <mergeCell ref="F164:K164"/>
    <mergeCell ref="F165:K165"/>
    <mergeCell ref="A158:K158"/>
    <mergeCell ref="F159:K159"/>
    <mergeCell ref="F160:K160"/>
    <mergeCell ref="F161:K161"/>
    <mergeCell ref="F170:K170"/>
    <mergeCell ref="F171:K171"/>
    <mergeCell ref="F172:K172"/>
    <mergeCell ref="F173:K173"/>
    <mergeCell ref="F166:K166"/>
    <mergeCell ref="F167:K167"/>
    <mergeCell ref="F168:K168"/>
    <mergeCell ref="F169:K169"/>
    <mergeCell ref="F178:K178"/>
    <mergeCell ref="F179:K179"/>
    <mergeCell ref="F180:K180"/>
    <mergeCell ref="F181:K181"/>
    <mergeCell ref="F174:K174"/>
    <mergeCell ref="F175:K175"/>
    <mergeCell ref="F176:K176"/>
    <mergeCell ref="F177:K177"/>
    <mergeCell ref="F186:K186"/>
    <mergeCell ref="F187:K187"/>
    <mergeCell ref="F188:K188"/>
    <mergeCell ref="F189:K189"/>
    <mergeCell ref="F182:K182"/>
    <mergeCell ref="F183:K183"/>
    <mergeCell ref="F184:K184"/>
    <mergeCell ref="F185:K185"/>
    <mergeCell ref="F194:K194"/>
    <mergeCell ref="F195:K195"/>
    <mergeCell ref="F196:K196"/>
    <mergeCell ref="F197:K197"/>
    <mergeCell ref="F190:K190"/>
    <mergeCell ref="F191:K191"/>
    <mergeCell ref="F192:K192"/>
    <mergeCell ref="F193:K193"/>
    <mergeCell ref="F202:K202"/>
    <mergeCell ref="F203:K203"/>
    <mergeCell ref="F204:K204"/>
    <mergeCell ref="F205:K205"/>
    <mergeCell ref="F198:K198"/>
    <mergeCell ref="F199:K199"/>
    <mergeCell ref="F200:K200"/>
    <mergeCell ref="F201:K201"/>
    <mergeCell ref="F210:K210"/>
    <mergeCell ref="F211:K211"/>
    <mergeCell ref="F212:K212"/>
    <mergeCell ref="F213:K213"/>
    <mergeCell ref="F206:K206"/>
    <mergeCell ref="F207:K207"/>
    <mergeCell ref="F208:K208"/>
    <mergeCell ref="F209:K209"/>
    <mergeCell ref="F222:K222"/>
    <mergeCell ref="F218:K218"/>
    <mergeCell ref="F219:K219"/>
    <mergeCell ref="F220:K220"/>
    <mergeCell ref="F221:K221"/>
    <mergeCell ref="F214:K214"/>
    <mergeCell ref="F215:K215"/>
    <mergeCell ref="F216:K216"/>
    <mergeCell ref="F217:K217"/>
  </mergeCells>
  <conditionalFormatting sqref="C95:K95 C108:K108 C124:K124">
    <cfRule type="cellIs" priority="1" dxfId="1" operator="equal" stopIfTrue="1">
      <formula>"A tensão longitudinal não passou"</formula>
    </cfRule>
  </conditionalFormatting>
  <conditionalFormatting sqref="C96:K96 C109:K109 C125:K125">
    <cfRule type="cellIs" priority="2" dxfId="1" operator="equal" stopIfTrue="1">
      <formula>"A tensão radial não passou"</formula>
    </cfRule>
  </conditionalFormatting>
  <conditionalFormatting sqref="C97:K97 C110:K110 C126:K126">
    <cfRule type="cellIs" priority="3" dxfId="1" operator="equal" stopIfTrue="1">
      <formula>"A tensão tangencial não passou"</formula>
    </cfRule>
  </conditionalFormatting>
  <conditionalFormatting sqref="C98:K98">
    <cfRule type="cellIs" priority="4" dxfId="1" operator="equal" stopIfTrue="1">
      <formula>"Não passou: ((SHO+SRO)/2) é maior do que Sfp"</formula>
    </cfRule>
  </conditionalFormatting>
  <conditionalFormatting sqref="C99:K99">
    <cfRule type="cellIs" priority="5" dxfId="1" operator="equal" stopIfTrue="1">
      <formula>"Não passou: ((SHO+STO)/2) é mairo do que Sfp"</formula>
    </cfRule>
  </conditionalFormatting>
  <conditionalFormatting sqref="C111:K111">
    <cfRule type="cellIs" priority="6" dxfId="1" operator="equal" stopIfTrue="1">
      <formula>"Não passou: ((SHA+SRA)/2) é maior do que Sff"</formula>
    </cfRule>
  </conditionalFormatting>
  <conditionalFormatting sqref="C112:K112">
    <cfRule type="cellIs" priority="7" dxfId="1" operator="equal" stopIfTrue="1">
      <formula>"Não passou: ((SHA+STA)/2) é maior do que Sff"</formula>
    </cfRule>
  </conditionalFormatting>
  <conditionalFormatting sqref="C127:K127">
    <cfRule type="cellIs" priority="8" dxfId="1" operator="equal" stopIfTrue="1">
      <formula>"Não passou: ((SHI+SRI)/2) é maior do que Sff"</formula>
    </cfRule>
  </conditionalFormatting>
  <conditionalFormatting sqref="C128:K128">
    <cfRule type="cellIs" priority="9" dxfId="1" operator="equal" stopIfTrue="1">
      <formula>"Não passou: ((SHI+STI)/2) é maior do que Sff"</formula>
    </cfRule>
  </conditionalFormatting>
  <conditionalFormatting sqref="F141:K141 F148:K148 F155:K155">
    <cfRule type="cellIs" priority="10" dxfId="1" operator="equal" stopIfTrue="1">
      <formula>"Reanalisar, os flanges não tem rigidez suficiente"</formula>
    </cfRule>
  </conditionalFormatting>
  <conditionalFormatting sqref="C42:K42">
    <cfRule type="cellIs" priority="11" dxfId="0" operator="equal" stopIfTrue="1">
      <formula>"A área resistente dos parafusos está OK!"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2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9.140625" style="34" customWidth="1"/>
    <col min="2" max="2" width="12.28125" style="34" customWidth="1"/>
    <col min="3" max="3" width="9.140625" style="34" customWidth="1"/>
    <col min="4" max="4" width="12.00390625" style="34" customWidth="1"/>
    <col min="5" max="10" width="9.140625" style="34" customWidth="1"/>
    <col min="11" max="11" width="13.57421875" style="34" customWidth="1"/>
    <col min="12" max="16384" width="9.140625" style="34" customWidth="1"/>
  </cols>
  <sheetData>
    <row r="1" spans="1:11" ht="14.25">
      <c r="A1" s="106" t="s">
        <v>34</v>
      </c>
      <c r="B1" s="107"/>
      <c r="C1" s="107"/>
      <c r="D1" s="107"/>
      <c r="E1" s="107"/>
      <c r="F1" s="107"/>
      <c r="G1" s="107"/>
      <c r="H1" s="107"/>
      <c r="I1" s="108"/>
      <c r="J1" s="109" t="s">
        <v>35</v>
      </c>
      <c r="K1" s="110"/>
    </row>
    <row r="2" spans="1:11" ht="12.75">
      <c r="A2" s="111" t="s">
        <v>36</v>
      </c>
      <c r="B2" s="112"/>
      <c r="C2" s="112"/>
      <c r="D2" s="112"/>
      <c r="E2" s="112"/>
      <c r="F2" s="112"/>
      <c r="G2" s="112"/>
      <c r="H2" s="112"/>
      <c r="I2" s="113"/>
      <c r="J2" s="114" t="s">
        <v>37</v>
      </c>
      <c r="K2" s="115"/>
    </row>
    <row r="3" spans="1:11" ht="12.7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8">
      <c r="A4" s="119" t="s">
        <v>38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2.75">
      <c r="A5" s="120" t="s">
        <v>39</v>
      </c>
      <c r="B5" s="121"/>
      <c r="C5" s="121"/>
      <c r="D5" s="121"/>
      <c r="E5" s="122"/>
      <c r="F5" s="123" t="s">
        <v>387</v>
      </c>
      <c r="G5" s="124"/>
      <c r="H5" s="124"/>
      <c r="I5" s="124"/>
      <c r="J5" s="124"/>
      <c r="K5" s="125"/>
    </row>
    <row r="6" spans="1:11" ht="12.75">
      <c r="A6" s="120" t="s">
        <v>40</v>
      </c>
      <c r="B6" s="121"/>
      <c r="C6" s="121"/>
      <c r="D6" s="121"/>
      <c r="E6" s="122"/>
      <c r="F6" s="126" t="s">
        <v>367</v>
      </c>
      <c r="G6" s="127"/>
      <c r="H6" s="127"/>
      <c r="I6" s="127"/>
      <c r="J6" s="127"/>
      <c r="K6" s="128"/>
    </row>
    <row r="7" spans="1:11" ht="12.75">
      <c r="A7" s="120" t="s">
        <v>41</v>
      </c>
      <c r="B7" s="121"/>
      <c r="C7" s="121"/>
      <c r="D7" s="121"/>
      <c r="E7" s="122"/>
      <c r="F7" s="126" t="s">
        <v>389</v>
      </c>
      <c r="G7" s="127"/>
      <c r="H7" s="127"/>
      <c r="I7" s="127"/>
      <c r="J7" s="127"/>
      <c r="K7" s="128"/>
    </row>
    <row r="8" spans="1:11" ht="12.75">
      <c r="A8" s="120" t="s">
        <v>42</v>
      </c>
      <c r="B8" s="121"/>
      <c r="C8" s="121"/>
      <c r="D8" s="121"/>
      <c r="E8" s="122"/>
      <c r="F8" s="129" t="s">
        <v>366</v>
      </c>
      <c r="G8" s="130"/>
      <c r="H8" s="130"/>
      <c r="I8" s="130"/>
      <c r="J8" s="130"/>
      <c r="K8" s="131"/>
    </row>
    <row r="9" spans="1:11" ht="12.75">
      <c r="A9" s="132" t="s">
        <v>43</v>
      </c>
      <c r="B9" s="133"/>
      <c r="C9" s="133"/>
      <c r="D9" s="133"/>
      <c r="E9" s="133"/>
      <c r="F9" s="133"/>
      <c r="G9" s="133"/>
      <c r="H9" s="133"/>
      <c r="I9" s="133"/>
      <c r="J9" s="133"/>
      <c r="K9" s="134"/>
    </row>
    <row r="10" spans="1:11" ht="12.75">
      <c r="A10" s="9"/>
      <c r="B10" s="135" t="s">
        <v>44</v>
      </c>
      <c r="C10" s="136"/>
      <c r="D10" s="135" t="s">
        <v>45</v>
      </c>
      <c r="E10" s="136"/>
      <c r="F10" s="137"/>
      <c r="G10" s="133"/>
      <c r="H10" s="133"/>
      <c r="I10" s="133"/>
      <c r="J10" s="133"/>
      <c r="K10" s="138"/>
    </row>
    <row r="11" spans="1:11" ht="12.75">
      <c r="A11" s="1" t="s">
        <v>46</v>
      </c>
      <c r="B11" s="25">
        <f>1353/25.4</f>
        <v>53.267716535433074</v>
      </c>
      <c r="C11" s="2" t="s">
        <v>47</v>
      </c>
      <c r="D11" s="3">
        <f>B11*25.4</f>
        <v>1353</v>
      </c>
      <c r="E11" s="7" t="s">
        <v>2</v>
      </c>
      <c r="F11" s="139" t="s">
        <v>48</v>
      </c>
      <c r="G11" s="140"/>
      <c r="H11" s="140"/>
      <c r="I11" s="140"/>
      <c r="J11" s="140"/>
      <c r="K11" s="141"/>
    </row>
    <row r="12" spans="1:11" ht="12.75">
      <c r="A12" s="1" t="s">
        <v>49</v>
      </c>
      <c r="B12" s="25">
        <f>1290/25.4</f>
        <v>50.787401574803155</v>
      </c>
      <c r="C12" s="2" t="s">
        <v>47</v>
      </c>
      <c r="D12" s="3">
        <f>B12*25.4</f>
        <v>1290</v>
      </c>
      <c r="E12" s="7" t="s">
        <v>2</v>
      </c>
      <c r="F12" s="139" t="s">
        <v>50</v>
      </c>
      <c r="G12" s="140"/>
      <c r="H12" s="140"/>
      <c r="I12" s="140"/>
      <c r="J12" s="140"/>
      <c r="K12" s="141"/>
    </row>
    <row r="13" spans="1:11" ht="12.75">
      <c r="A13" s="1" t="s">
        <v>51</v>
      </c>
      <c r="B13" s="26">
        <v>0</v>
      </c>
      <c r="C13" s="2" t="s">
        <v>14</v>
      </c>
      <c r="D13" s="3">
        <f>B13</f>
        <v>0</v>
      </c>
      <c r="E13" s="2" t="s">
        <v>14</v>
      </c>
      <c r="F13" s="139" t="s">
        <v>52</v>
      </c>
      <c r="G13" s="140"/>
      <c r="H13" s="140"/>
      <c r="I13" s="140"/>
      <c r="J13" s="140"/>
      <c r="K13" s="141"/>
    </row>
    <row r="14" spans="1:11" ht="12.75">
      <c r="A14" s="1" t="s">
        <v>53</v>
      </c>
      <c r="B14" s="27">
        <f>3*14.22</f>
        <v>42.660000000000004</v>
      </c>
      <c r="C14" s="2" t="s">
        <v>0</v>
      </c>
      <c r="D14" s="3">
        <f>B14*6.894757</f>
        <v>294.13033362000004</v>
      </c>
      <c r="E14" s="7" t="s">
        <v>9</v>
      </c>
      <c r="F14" s="142" t="s">
        <v>54</v>
      </c>
      <c r="G14" s="143"/>
      <c r="H14" s="143"/>
      <c r="I14" s="143"/>
      <c r="J14" s="143"/>
      <c r="K14" s="144"/>
    </row>
    <row r="15" spans="1:11" ht="12.75">
      <c r="A15" s="1" t="s">
        <v>55</v>
      </c>
      <c r="B15" s="27">
        <v>829066</v>
      </c>
      <c r="C15" s="2" t="s">
        <v>56</v>
      </c>
      <c r="D15" s="3">
        <f>B15*0.01152124</f>
        <v>9551.868361840001</v>
      </c>
      <c r="E15" s="7" t="s">
        <v>57</v>
      </c>
      <c r="F15" s="142" t="s">
        <v>58</v>
      </c>
      <c r="G15" s="143"/>
      <c r="H15" s="143"/>
      <c r="I15" s="143"/>
      <c r="J15" s="143"/>
      <c r="K15" s="144"/>
    </row>
    <row r="16" spans="1:11" ht="17.25" customHeight="1">
      <c r="A16" s="10" t="s">
        <v>59</v>
      </c>
      <c r="B16" s="27">
        <f>3739</f>
        <v>3739</v>
      </c>
      <c r="C16" s="2" t="s">
        <v>29</v>
      </c>
      <c r="D16" s="3">
        <f>B16*0.4535924</f>
        <v>1695.9819836</v>
      </c>
      <c r="E16" s="7" t="s">
        <v>1</v>
      </c>
      <c r="F16" s="145" t="s">
        <v>60</v>
      </c>
      <c r="G16" s="146"/>
      <c r="H16" s="146"/>
      <c r="I16" s="146"/>
      <c r="J16" s="146"/>
      <c r="K16" s="147"/>
    </row>
    <row r="17" spans="1:11" ht="12.75">
      <c r="A17" s="1" t="s">
        <v>61</v>
      </c>
      <c r="B17" s="8">
        <f>(16*B15)/(3.14*(B24^3))</f>
        <v>29.227479395087695</v>
      </c>
      <c r="C17" s="2" t="s">
        <v>0</v>
      </c>
      <c r="D17" s="3">
        <f>B17*6.894757</f>
        <v>201.51636815163667</v>
      </c>
      <c r="E17" s="7" t="s">
        <v>9</v>
      </c>
      <c r="F17" s="145" t="s">
        <v>62</v>
      </c>
      <c r="G17" s="146"/>
      <c r="H17" s="146"/>
      <c r="I17" s="146"/>
      <c r="J17" s="146"/>
      <c r="K17" s="147"/>
    </row>
    <row r="18" spans="1:11" ht="12.75">
      <c r="A18" s="1" t="s">
        <v>63</v>
      </c>
      <c r="B18" s="8">
        <f>(4*B16)/(3.1416*(B24^2))</f>
        <v>1.7285124703747907</v>
      </c>
      <c r="C18" s="2" t="s">
        <v>0</v>
      </c>
      <c r="D18" s="3">
        <f>B18*6.894757</f>
        <v>11.91767345470388</v>
      </c>
      <c r="E18" s="7" t="s">
        <v>9</v>
      </c>
      <c r="F18" s="145" t="s">
        <v>64</v>
      </c>
      <c r="G18" s="146"/>
      <c r="H18" s="146"/>
      <c r="I18" s="146"/>
      <c r="J18" s="146"/>
      <c r="K18" s="147"/>
    </row>
    <row r="19" spans="1:11" ht="12.75">
      <c r="A19" s="1" t="s">
        <v>65</v>
      </c>
      <c r="B19" s="8">
        <f>((16*B15)/(3.14*(B24^3)))+((4*B16)/(3.14*(B24^2)))</f>
        <v>30.956872636148027</v>
      </c>
      <c r="C19" s="2" t="s">
        <v>0</v>
      </c>
      <c r="D19" s="3">
        <f>B19*6.894757</f>
        <v>213.44011430619008</v>
      </c>
      <c r="E19" s="7" t="s">
        <v>9</v>
      </c>
      <c r="F19" s="145" t="s">
        <v>66</v>
      </c>
      <c r="G19" s="146"/>
      <c r="H19" s="146"/>
      <c r="I19" s="146"/>
      <c r="J19" s="146"/>
      <c r="K19" s="147"/>
    </row>
    <row r="20" spans="1:11" ht="12.75">
      <c r="A20" s="1" t="s">
        <v>67</v>
      </c>
      <c r="B20" s="8">
        <f>B19+B14</f>
        <v>73.61687263614803</v>
      </c>
      <c r="C20" s="2" t="s">
        <v>0</v>
      </c>
      <c r="D20" s="3">
        <f>B20*6.894757</f>
        <v>507.5704479261901</v>
      </c>
      <c r="E20" s="7" t="s">
        <v>9</v>
      </c>
      <c r="F20" s="145" t="s">
        <v>68</v>
      </c>
      <c r="G20" s="146"/>
      <c r="H20" s="146"/>
      <c r="I20" s="146"/>
      <c r="J20" s="146"/>
      <c r="K20" s="147"/>
    </row>
    <row r="21" spans="1:11" ht="12.75">
      <c r="A21" s="1" t="s">
        <v>69</v>
      </c>
      <c r="B21" s="8">
        <f>((B11-B12)/2)</f>
        <v>1.2401574803149593</v>
      </c>
      <c r="C21" s="2" t="s">
        <v>47</v>
      </c>
      <c r="D21" s="3">
        <f>B21*25.4</f>
        <v>31.499999999999964</v>
      </c>
      <c r="E21" s="7" t="s">
        <v>2</v>
      </c>
      <c r="F21" s="142" t="s">
        <v>70</v>
      </c>
      <c r="G21" s="143"/>
      <c r="H21" s="143"/>
      <c r="I21" s="143"/>
      <c r="J21" s="143"/>
      <c r="K21" s="144"/>
    </row>
    <row r="22" spans="1:11" ht="12.75">
      <c r="A22" s="1" t="s">
        <v>71</v>
      </c>
      <c r="B22" s="8">
        <f>+B21/2</f>
        <v>0.6200787401574797</v>
      </c>
      <c r="C22" s="2" t="s">
        <v>47</v>
      </c>
      <c r="D22" s="3">
        <f>B22*25.4</f>
        <v>15.749999999999982</v>
      </c>
      <c r="E22" s="7" t="s">
        <v>2</v>
      </c>
      <c r="F22" s="148" t="s">
        <v>72</v>
      </c>
      <c r="G22" s="149"/>
      <c r="H22" s="149"/>
      <c r="I22" s="149"/>
      <c r="J22" s="149"/>
      <c r="K22" s="150"/>
    </row>
    <row r="23" spans="1:11" ht="21" customHeight="1">
      <c r="A23" s="10" t="s">
        <v>73</v>
      </c>
      <c r="B23" s="8">
        <f>IF(B22&lt;=0.25,B22,0.5*SQRT(B22))</f>
        <v>0.3937253929318884</v>
      </c>
      <c r="C23" s="2" t="s">
        <v>47</v>
      </c>
      <c r="D23" s="3">
        <f>B23*25.4</f>
        <v>10.000624980469965</v>
      </c>
      <c r="E23" s="7" t="s">
        <v>2</v>
      </c>
      <c r="F23" s="151" t="s">
        <v>360</v>
      </c>
      <c r="G23" s="152"/>
      <c r="H23" s="152"/>
      <c r="I23" s="152"/>
      <c r="J23" s="152"/>
      <c r="K23" s="153"/>
    </row>
    <row r="24" spans="1:11" ht="17.25" customHeight="1">
      <c r="A24" s="1" t="s">
        <v>74</v>
      </c>
      <c r="B24" s="8">
        <f>IF(B22&lt;=0.25,((B11+B12)/2),(B11-(2*B23)))</f>
        <v>52.4802657495693</v>
      </c>
      <c r="C24" s="2" t="s">
        <v>47</v>
      </c>
      <c r="D24" s="3">
        <f>B24*25.4</f>
        <v>1332.99875003906</v>
      </c>
      <c r="E24" s="7" t="s">
        <v>2</v>
      </c>
      <c r="F24" s="145" t="s">
        <v>75</v>
      </c>
      <c r="G24" s="146"/>
      <c r="H24" s="146"/>
      <c r="I24" s="146"/>
      <c r="J24" s="146"/>
      <c r="K24" s="147"/>
    </row>
    <row r="25" spans="1:11" ht="12.75">
      <c r="A25" s="1" t="s">
        <v>76</v>
      </c>
      <c r="B25" s="3">
        <f>B20*0.785*B24*B24</f>
        <v>159161.88420962784</v>
      </c>
      <c r="C25" s="2" t="s">
        <v>29</v>
      </c>
      <c r="D25" s="3">
        <f>B25*0.4535924</f>
        <v>72194.6210471672</v>
      </c>
      <c r="E25" s="7" t="s">
        <v>1</v>
      </c>
      <c r="F25" s="145" t="s">
        <v>77</v>
      </c>
      <c r="G25" s="146"/>
      <c r="H25" s="146"/>
      <c r="I25" s="146"/>
      <c r="J25" s="146"/>
      <c r="K25" s="147"/>
    </row>
    <row r="26" spans="1:11" ht="12.75">
      <c r="A26" s="1" t="s">
        <v>78</v>
      </c>
      <c r="B26" s="3">
        <f>B13*B14*2*B23*B24*3.14</f>
        <v>0</v>
      </c>
      <c r="C26" s="2" t="s">
        <v>29</v>
      </c>
      <c r="D26" s="3">
        <f>B26*0.4535924</f>
        <v>0</v>
      </c>
      <c r="E26" s="7" t="s">
        <v>1</v>
      </c>
      <c r="F26" s="145" t="s">
        <v>79</v>
      </c>
      <c r="G26" s="146"/>
      <c r="H26" s="146"/>
      <c r="I26" s="146"/>
      <c r="J26" s="146"/>
      <c r="K26" s="147"/>
    </row>
    <row r="27" spans="1:11" ht="12.75">
      <c r="A27" s="11" t="s">
        <v>80</v>
      </c>
      <c r="B27" s="3">
        <f>B25+B26</f>
        <v>159161.88420962784</v>
      </c>
      <c r="C27" s="2" t="s">
        <v>29</v>
      </c>
      <c r="D27" s="3">
        <f>B27*0.4535924</f>
        <v>72194.6210471672</v>
      </c>
      <c r="E27" s="7" t="s">
        <v>1</v>
      </c>
      <c r="F27" s="145" t="s">
        <v>81</v>
      </c>
      <c r="G27" s="146"/>
      <c r="H27" s="146"/>
      <c r="I27" s="146"/>
      <c r="J27" s="146"/>
      <c r="K27" s="147"/>
    </row>
    <row r="28" spans="1:11" ht="12.75">
      <c r="A28" s="154" t="s">
        <v>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6"/>
    </row>
    <row r="29" spans="1:11" ht="22.5" customHeight="1">
      <c r="A29" s="1" t="s">
        <v>82</v>
      </c>
      <c r="B29" s="28">
        <v>0</v>
      </c>
      <c r="C29" s="2" t="s">
        <v>0</v>
      </c>
      <c r="D29" s="3">
        <f>B29*6.894757</f>
        <v>0</v>
      </c>
      <c r="E29" s="7" t="s">
        <v>9</v>
      </c>
      <c r="F29" s="145" t="s">
        <v>83</v>
      </c>
      <c r="G29" s="146"/>
      <c r="H29" s="146"/>
      <c r="I29" s="146"/>
      <c r="J29" s="146"/>
      <c r="K29" s="147"/>
    </row>
    <row r="30" spans="1:11" ht="12.75">
      <c r="A30" s="1" t="s">
        <v>84</v>
      </c>
      <c r="B30" s="3">
        <f>B23*B24*B29*3.1416</f>
        <v>0</v>
      </c>
      <c r="C30" s="2" t="s">
        <v>29</v>
      </c>
      <c r="D30" s="3">
        <f>B30*0.4535924</f>
        <v>0</v>
      </c>
      <c r="E30" s="7" t="s">
        <v>1</v>
      </c>
      <c r="F30" s="145" t="s">
        <v>85</v>
      </c>
      <c r="G30" s="146"/>
      <c r="H30" s="146"/>
      <c r="I30" s="146"/>
      <c r="J30" s="146"/>
      <c r="K30" s="147"/>
    </row>
    <row r="31" spans="1:11" ht="23.25" customHeight="1">
      <c r="A31" s="154" t="s">
        <v>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6"/>
    </row>
    <row r="32" spans="1:11" ht="12.75">
      <c r="A32" s="1" t="s">
        <v>5</v>
      </c>
      <c r="B32" s="28">
        <v>380</v>
      </c>
      <c r="C32" s="2" t="s">
        <v>6</v>
      </c>
      <c r="D32" s="41">
        <f>B32*1.8+32</f>
        <v>716</v>
      </c>
      <c r="E32" s="2" t="s">
        <v>6</v>
      </c>
      <c r="F32" s="148" t="s">
        <v>7</v>
      </c>
      <c r="G32" s="149"/>
      <c r="H32" s="149"/>
      <c r="I32" s="149"/>
      <c r="J32" s="149"/>
      <c r="K32" s="150"/>
    </row>
    <row r="33" spans="1:11" ht="12.75">
      <c r="A33" s="1" t="s">
        <v>8</v>
      </c>
      <c r="B33" s="28">
        <v>11700</v>
      </c>
      <c r="C33" s="2" t="s">
        <v>0</v>
      </c>
      <c r="D33" s="3">
        <f>B33*6.894757</f>
        <v>80668.6569</v>
      </c>
      <c r="E33" s="7" t="s">
        <v>9</v>
      </c>
      <c r="F33" s="148" t="s">
        <v>10</v>
      </c>
      <c r="G33" s="149"/>
      <c r="H33" s="149"/>
      <c r="I33" s="149"/>
      <c r="J33" s="149"/>
      <c r="K33" s="150"/>
    </row>
    <row r="34" spans="1:11" ht="12.75">
      <c r="A34" s="1" t="s">
        <v>11</v>
      </c>
      <c r="B34" s="28">
        <v>18800</v>
      </c>
      <c r="C34" s="2" t="s">
        <v>0</v>
      </c>
      <c r="D34" s="3">
        <f>B34*6.894757</f>
        <v>129621.43160000001</v>
      </c>
      <c r="E34" s="7" t="s">
        <v>9</v>
      </c>
      <c r="F34" s="148" t="s">
        <v>12</v>
      </c>
      <c r="G34" s="149"/>
      <c r="H34" s="149"/>
      <c r="I34" s="149"/>
      <c r="J34" s="149"/>
      <c r="K34" s="150"/>
    </row>
    <row r="35" spans="1:11" ht="12.75">
      <c r="A35" s="1" t="s">
        <v>363</v>
      </c>
      <c r="B35" s="28">
        <v>2</v>
      </c>
      <c r="C35" s="2" t="s">
        <v>47</v>
      </c>
      <c r="D35" s="3">
        <f>B35*25.4</f>
        <v>50.8</v>
      </c>
      <c r="E35" s="7" t="s">
        <v>2</v>
      </c>
      <c r="F35" s="4" t="s">
        <v>364</v>
      </c>
      <c r="G35" s="5"/>
      <c r="H35" s="5"/>
      <c r="I35" s="5"/>
      <c r="J35" s="5"/>
      <c r="K35" s="6"/>
    </row>
    <row r="36" spans="1:11" ht="12.75">
      <c r="A36" s="1" t="s">
        <v>13</v>
      </c>
      <c r="B36" s="28">
        <v>32</v>
      </c>
      <c r="C36" s="2" t="s">
        <v>14</v>
      </c>
      <c r="D36" s="3">
        <f>B36</f>
        <v>32</v>
      </c>
      <c r="E36" s="7" t="s">
        <v>14</v>
      </c>
      <c r="F36" s="139" t="s">
        <v>15</v>
      </c>
      <c r="G36" s="140"/>
      <c r="H36" s="140"/>
      <c r="I36" s="140"/>
      <c r="J36" s="140"/>
      <c r="K36" s="141"/>
    </row>
    <row r="37" spans="1:11" ht="12.75">
      <c r="A37" s="1" t="s">
        <v>16</v>
      </c>
      <c r="B37" s="28">
        <v>2.652</v>
      </c>
      <c r="C37" s="2" t="s">
        <v>17</v>
      </c>
      <c r="D37" s="3">
        <f>B37*25.4*25.4</f>
        <v>1710.9643199999998</v>
      </c>
      <c r="E37" s="7" t="s">
        <v>18</v>
      </c>
      <c r="F37" s="148" t="s">
        <v>19</v>
      </c>
      <c r="G37" s="149"/>
      <c r="H37" s="149"/>
      <c r="I37" s="149"/>
      <c r="J37" s="149"/>
      <c r="K37" s="150"/>
    </row>
    <row r="38" spans="1:11" ht="12.75">
      <c r="A38" s="1" t="s">
        <v>20</v>
      </c>
      <c r="B38" s="38">
        <f>+B37*B36</f>
        <v>84.864</v>
      </c>
      <c r="C38" s="2" t="s">
        <v>17</v>
      </c>
      <c r="D38" s="3">
        <f>B38*25.4*25.4</f>
        <v>54750.858239999994</v>
      </c>
      <c r="E38" s="7" t="s">
        <v>18</v>
      </c>
      <c r="F38" s="148" t="s">
        <v>21</v>
      </c>
      <c r="G38" s="149"/>
      <c r="H38" s="149"/>
      <c r="I38" s="149"/>
      <c r="J38" s="149"/>
      <c r="K38" s="150"/>
    </row>
    <row r="39" spans="1:11" ht="12.75">
      <c r="A39" s="1" t="s">
        <v>22</v>
      </c>
      <c r="B39" s="8">
        <f>B27/B33</f>
        <v>13.603579846976737</v>
      </c>
      <c r="C39" s="2" t="s">
        <v>17</v>
      </c>
      <c r="D39" s="3">
        <f>B39*25.4*25.4</f>
        <v>8776.48557407551</v>
      </c>
      <c r="E39" s="7" t="s">
        <v>18</v>
      </c>
      <c r="F39" s="148" t="s">
        <v>23</v>
      </c>
      <c r="G39" s="149"/>
      <c r="H39" s="149"/>
      <c r="I39" s="149"/>
      <c r="J39" s="149"/>
      <c r="K39" s="150"/>
    </row>
    <row r="40" spans="1:11" ht="12.75">
      <c r="A40" s="1" t="s">
        <v>24</v>
      </c>
      <c r="B40" s="8">
        <f>B30/B34</f>
        <v>0</v>
      </c>
      <c r="C40" s="2" t="s">
        <v>17</v>
      </c>
      <c r="D40" s="3">
        <f>B40*25.4*25.4</f>
        <v>0</v>
      </c>
      <c r="E40" s="7" t="s">
        <v>18</v>
      </c>
      <c r="F40" s="148" t="s">
        <v>25</v>
      </c>
      <c r="G40" s="149"/>
      <c r="H40" s="149"/>
      <c r="I40" s="149"/>
      <c r="J40" s="149"/>
      <c r="K40" s="150"/>
    </row>
    <row r="41" spans="1:11" ht="12.75">
      <c r="A41" s="1" t="s">
        <v>26</v>
      </c>
      <c r="B41" s="39">
        <f>IF(B39&gt;B40,B39,B40)</f>
        <v>13.603579846976737</v>
      </c>
      <c r="C41" s="2" t="s">
        <v>17</v>
      </c>
      <c r="D41" s="37">
        <f>B41*25.4*25.4</f>
        <v>8776.48557407551</v>
      </c>
      <c r="E41" s="7" t="s">
        <v>18</v>
      </c>
      <c r="F41" s="148" t="s">
        <v>27</v>
      </c>
      <c r="G41" s="149"/>
      <c r="H41" s="149"/>
      <c r="I41" s="149"/>
      <c r="J41" s="149"/>
      <c r="K41" s="150"/>
    </row>
    <row r="42" spans="1:11" ht="12.75">
      <c r="A42" s="157" t="s">
        <v>362</v>
      </c>
      <c r="B42" s="158"/>
      <c r="C42" s="159" t="str">
        <f>IF(B41&lt;=B38,"A área resistente dos parafusos está OK!","Não passou!  A área resistente de parafusos é insuficiente.")</f>
        <v>A área resistente dos parafusos está OK!</v>
      </c>
      <c r="D42" s="160"/>
      <c r="E42" s="160"/>
      <c r="F42" s="160"/>
      <c r="G42" s="160"/>
      <c r="H42" s="160"/>
      <c r="I42" s="160"/>
      <c r="J42" s="160"/>
      <c r="K42" s="161"/>
    </row>
    <row r="43" spans="1:11" ht="12.75">
      <c r="A43" s="1" t="s">
        <v>28</v>
      </c>
      <c r="B43" s="3">
        <f>0.5*(B41+B38)*B34</f>
        <v>925595.2505615815</v>
      </c>
      <c r="C43" s="2" t="s">
        <v>29</v>
      </c>
      <c r="D43" s="3">
        <f>B43*0.4535924</f>
        <v>419842.9711308291</v>
      </c>
      <c r="E43" s="7" t="s">
        <v>1</v>
      </c>
      <c r="F43" s="148" t="s">
        <v>30</v>
      </c>
      <c r="G43" s="149"/>
      <c r="H43" s="149"/>
      <c r="I43" s="149"/>
      <c r="J43" s="149"/>
      <c r="K43" s="150"/>
    </row>
    <row r="44" spans="1:11" ht="12.75">
      <c r="A44" s="1" t="s">
        <v>31</v>
      </c>
      <c r="B44" s="3">
        <f>B27</f>
        <v>159161.88420962784</v>
      </c>
      <c r="C44" s="2" t="s">
        <v>29</v>
      </c>
      <c r="D44" s="3">
        <f>B44*0.4535924</f>
        <v>72194.6210471672</v>
      </c>
      <c r="E44" s="7" t="s">
        <v>1</v>
      </c>
      <c r="F44" s="148" t="s">
        <v>361</v>
      </c>
      <c r="G44" s="149"/>
      <c r="H44" s="149"/>
      <c r="I44" s="149"/>
      <c r="J44" s="149"/>
      <c r="K44" s="150"/>
    </row>
    <row r="45" spans="1:11" ht="12.75">
      <c r="A45" s="1" t="s">
        <v>32</v>
      </c>
      <c r="B45" s="3">
        <f>IF(B43&gt;B44,B43,B44)</f>
        <v>925595.2505615815</v>
      </c>
      <c r="C45" s="2" t="s">
        <v>29</v>
      </c>
      <c r="D45" s="3">
        <f>B45*0.4535924</f>
        <v>419842.9711308291</v>
      </c>
      <c r="E45" s="7" t="s">
        <v>1</v>
      </c>
      <c r="F45" s="148" t="s">
        <v>33</v>
      </c>
      <c r="G45" s="149"/>
      <c r="H45" s="149"/>
      <c r="I45" s="149"/>
      <c r="J45" s="149"/>
      <c r="K45" s="150"/>
    </row>
    <row r="46" spans="1:11" ht="12.75">
      <c r="A46" s="154" t="s">
        <v>86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6"/>
    </row>
    <row r="47" spans="1:11" ht="12.75">
      <c r="A47" s="162" t="s">
        <v>87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4"/>
    </row>
    <row r="48" spans="1:11" ht="12.75">
      <c r="A48" s="165" t="s">
        <v>88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7"/>
    </row>
    <row r="49" spans="1:11" ht="12.75">
      <c r="A49" s="165" t="s">
        <v>89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7"/>
    </row>
    <row r="50" spans="1:11" ht="12.75">
      <c r="A50" s="168" t="s">
        <v>90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70"/>
    </row>
    <row r="51" spans="1:11" ht="12.75">
      <c r="A51" s="12" t="s">
        <v>91</v>
      </c>
      <c r="B51" s="25" t="s">
        <v>92</v>
      </c>
      <c r="C51" s="171" t="s">
        <v>93</v>
      </c>
      <c r="D51" s="172"/>
      <c r="E51" s="172"/>
      <c r="F51" s="172"/>
      <c r="G51" s="172"/>
      <c r="H51" s="172"/>
      <c r="I51" s="172"/>
      <c r="J51" s="172"/>
      <c r="K51" s="173"/>
    </row>
    <row r="52" spans="1:11" ht="18" customHeight="1">
      <c r="A52" s="10" t="s">
        <v>94</v>
      </c>
      <c r="B52" s="28">
        <f>61.8/25.4</f>
        <v>2.4330708661417324</v>
      </c>
      <c r="C52" s="2" t="s">
        <v>47</v>
      </c>
      <c r="D52" s="3">
        <f aca="true" t="shared" si="0" ref="D52:D59">B52*25.4</f>
        <v>61.8</v>
      </c>
      <c r="E52" s="7" t="s">
        <v>2</v>
      </c>
      <c r="F52" s="174" t="s">
        <v>95</v>
      </c>
      <c r="G52" s="175"/>
      <c r="H52" s="175"/>
      <c r="I52" s="175"/>
      <c r="J52" s="175"/>
      <c r="K52" s="176"/>
    </row>
    <row r="53" spans="1:11" ht="12.75">
      <c r="A53" s="10" t="s">
        <v>96</v>
      </c>
      <c r="B53" s="28">
        <f>43/25.4</f>
        <v>1.6929133858267718</v>
      </c>
      <c r="C53" s="2" t="s">
        <v>47</v>
      </c>
      <c r="D53" s="3">
        <f t="shared" si="0"/>
        <v>43</v>
      </c>
      <c r="E53" s="7" t="s">
        <v>2</v>
      </c>
      <c r="F53" s="174" t="s">
        <v>97</v>
      </c>
      <c r="G53" s="175"/>
      <c r="H53" s="175"/>
      <c r="I53" s="175"/>
      <c r="J53" s="175"/>
      <c r="K53" s="176"/>
    </row>
    <row r="54" spans="1:11" ht="12.75">
      <c r="A54" s="10" t="s">
        <v>98</v>
      </c>
      <c r="B54" s="28">
        <v>1</v>
      </c>
      <c r="C54" s="13" t="s">
        <v>47</v>
      </c>
      <c r="D54" s="3">
        <f t="shared" si="0"/>
        <v>25.4</v>
      </c>
      <c r="E54" s="7" t="s">
        <v>2</v>
      </c>
      <c r="F54" s="177" t="s">
        <v>99</v>
      </c>
      <c r="G54" s="178"/>
      <c r="H54" s="178"/>
      <c r="I54" s="178"/>
      <c r="J54" s="178"/>
      <c r="K54" s="179"/>
    </row>
    <row r="55" spans="1:11" ht="12.75">
      <c r="A55" s="10" t="s">
        <v>100</v>
      </c>
      <c r="B55" s="28">
        <f>1479.6/25.4</f>
        <v>58.25196850393701</v>
      </c>
      <c r="C55" s="2" t="s">
        <v>47</v>
      </c>
      <c r="D55" s="3">
        <f t="shared" si="0"/>
        <v>1479.6</v>
      </c>
      <c r="E55" s="7" t="s">
        <v>2</v>
      </c>
      <c r="F55" s="174" t="s">
        <v>101</v>
      </c>
      <c r="G55" s="175"/>
      <c r="H55" s="175"/>
      <c r="I55" s="175"/>
      <c r="J55" s="175"/>
      <c r="K55" s="176"/>
    </row>
    <row r="56" spans="1:11" ht="12.75">
      <c r="A56" s="10" t="s">
        <v>102</v>
      </c>
      <c r="B56" s="28">
        <f>1270/25.4</f>
        <v>50</v>
      </c>
      <c r="C56" s="2" t="s">
        <v>47</v>
      </c>
      <c r="D56" s="3">
        <f t="shared" si="0"/>
        <v>1270</v>
      </c>
      <c r="E56" s="7" t="s">
        <v>2</v>
      </c>
      <c r="F56" s="174" t="s">
        <v>103</v>
      </c>
      <c r="G56" s="175"/>
      <c r="H56" s="175"/>
      <c r="I56" s="175"/>
      <c r="J56" s="175"/>
      <c r="K56" s="176"/>
    </row>
    <row r="57" spans="1:11" ht="12.75">
      <c r="A57" s="10" t="s">
        <v>104</v>
      </c>
      <c r="B57" s="28">
        <f>1581/25.4</f>
        <v>62.24409448818898</v>
      </c>
      <c r="C57" s="2" t="s">
        <v>47</v>
      </c>
      <c r="D57" s="3">
        <f t="shared" si="0"/>
        <v>1581</v>
      </c>
      <c r="E57" s="7" t="s">
        <v>2</v>
      </c>
      <c r="F57" s="174" t="s">
        <v>105</v>
      </c>
      <c r="G57" s="175"/>
      <c r="H57" s="175"/>
      <c r="I57" s="175"/>
      <c r="J57" s="175"/>
      <c r="K57" s="176"/>
    </row>
    <row r="58" spans="1:11" ht="12.75">
      <c r="A58" s="10" t="s">
        <v>106</v>
      </c>
      <c r="B58" s="28">
        <f>94/25.4</f>
        <v>3.7007874015748032</v>
      </c>
      <c r="C58" s="2" t="s">
        <v>47</v>
      </c>
      <c r="D58" s="3">
        <f t="shared" si="0"/>
        <v>94</v>
      </c>
      <c r="E58" s="7" t="s">
        <v>2</v>
      </c>
      <c r="F58" s="174" t="s">
        <v>107</v>
      </c>
      <c r="G58" s="175"/>
      <c r="H58" s="175"/>
      <c r="I58" s="175"/>
      <c r="J58" s="175"/>
      <c r="K58" s="176"/>
    </row>
    <row r="59" spans="1:11" ht="12.75">
      <c r="A59" s="10" t="s">
        <v>108</v>
      </c>
      <c r="B59" s="14">
        <f>(B56*B54)^0.5</f>
        <v>7.0710678118654755</v>
      </c>
      <c r="C59" s="2" t="s">
        <v>47</v>
      </c>
      <c r="D59" s="3">
        <f t="shared" si="0"/>
        <v>179.60512242138307</v>
      </c>
      <c r="E59" s="7" t="s">
        <v>2</v>
      </c>
      <c r="F59" s="174" t="s">
        <v>109</v>
      </c>
      <c r="G59" s="175"/>
      <c r="H59" s="175"/>
      <c r="I59" s="175"/>
      <c r="J59" s="175"/>
      <c r="K59" s="176"/>
    </row>
    <row r="60" spans="1:11" ht="12.75">
      <c r="A60" s="10" t="s">
        <v>110</v>
      </c>
      <c r="B60" s="14">
        <f>IF(B51="a",(B208/B59),(B209/B59))</f>
        <v>0.11780510402278728</v>
      </c>
      <c r="C60" s="2" t="s">
        <v>111</v>
      </c>
      <c r="D60" s="3">
        <f>B60/25.4</f>
        <v>0.004637996221369578</v>
      </c>
      <c r="E60" s="7" t="s">
        <v>112</v>
      </c>
      <c r="F60" s="174" t="s">
        <v>113</v>
      </c>
      <c r="G60" s="175"/>
      <c r="H60" s="175"/>
      <c r="I60" s="175"/>
      <c r="J60" s="175"/>
      <c r="K60" s="176"/>
    </row>
    <row r="61" spans="1:11" ht="12.75">
      <c r="A61" s="10" t="s">
        <v>114</v>
      </c>
      <c r="B61" s="28">
        <f>121.55/25.4</f>
        <v>4.785433070866142</v>
      </c>
      <c r="C61" s="2" t="s">
        <v>47</v>
      </c>
      <c r="D61" s="3">
        <f>B61*25.4</f>
        <v>121.55</v>
      </c>
      <c r="E61" s="7" t="s">
        <v>2</v>
      </c>
      <c r="F61" s="174" t="s">
        <v>115</v>
      </c>
      <c r="G61" s="175"/>
      <c r="H61" s="175"/>
      <c r="I61" s="175"/>
      <c r="J61" s="175"/>
      <c r="K61" s="176"/>
    </row>
    <row r="62" spans="1:11" ht="12.75">
      <c r="A62" s="10"/>
      <c r="B62" s="25" t="s">
        <v>116</v>
      </c>
      <c r="C62" s="2" t="s">
        <v>117</v>
      </c>
      <c r="D62" s="3" t="s">
        <v>117</v>
      </c>
      <c r="E62" s="7" t="s">
        <v>117</v>
      </c>
      <c r="F62" s="174" t="s">
        <v>118</v>
      </c>
      <c r="G62" s="175"/>
      <c r="H62" s="175"/>
      <c r="I62" s="175"/>
      <c r="J62" s="175"/>
      <c r="K62" s="176"/>
    </row>
    <row r="63" spans="1:11" ht="12.75">
      <c r="A63" s="10" t="s">
        <v>119</v>
      </c>
      <c r="B63" s="28">
        <v>28000000</v>
      </c>
      <c r="C63" s="2" t="s">
        <v>0</v>
      </c>
      <c r="D63" s="3">
        <f>B63*6.894757</f>
        <v>193053196</v>
      </c>
      <c r="E63" s="7" t="s">
        <v>120</v>
      </c>
      <c r="F63" s="174" t="s">
        <v>121</v>
      </c>
      <c r="G63" s="175"/>
      <c r="H63" s="175"/>
      <c r="I63" s="175"/>
      <c r="J63" s="175"/>
      <c r="K63" s="176"/>
    </row>
    <row r="64" spans="1:11" ht="12.75">
      <c r="A64" s="10" t="s">
        <v>122</v>
      </c>
      <c r="B64" s="28">
        <v>2300</v>
      </c>
      <c r="C64" s="2" t="s">
        <v>0</v>
      </c>
      <c r="D64" s="3">
        <f>B64*6.894757</f>
        <v>15857.9411</v>
      </c>
      <c r="E64" s="7" t="s">
        <v>9</v>
      </c>
      <c r="F64" s="174" t="s">
        <v>123</v>
      </c>
      <c r="G64" s="175"/>
      <c r="H64" s="175"/>
      <c r="I64" s="175"/>
      <c r="J64" s="175"/>
      <c r="K64" s="176"/>
    </row>
    <row r="65" spans="1:11" ht="12.75">
      <c r="A65" s="10" t="s">
        <v>124</v>
      </c>
      <c r="B65" s="28">
        <v>20000</v>
      </c>
      <c r="C65" s="2" t="s">
        <v>0</v>
      </c>
      <c r="D65" s="3">
        <f>B65*6.894757</f>
        <v>137895.14</v>
      </c>
      <c r="E65" s="7" t="s">
        <v>9</v>
      </c>
      <c r="F65" s="174" t="s">
        <v>125</v>
      </c>
      <c r="G65" s="175"/>
      <c r="H65" s="175"/>
      <c r="I65" s="175"/>
      <c r="J65" s="175"/>
      <c r="K65" s="176"/>
    </row>
    <row r="66" spans="1:11" ht="12.75">
      <c r="A66" s="10"/>
      <c r="B66" s="25" t="s">
        <v>126</v>
      </c>
      <c r="C66" s="2" t="s">
        <v>117</v>
      </c>
      <c r="D66" s="3" t="s">
        <v>117</v>
      </c>
      <c r="E66" s="7" t="s">
        <v>117</v>
      </c>
      <c r="F66" s="174" t="s">
        <v>127</v>
      </c>
      <c r="G66" s="175"/>
      <c r="H66" s="175"/>
      <c r="I66" s="175"/>
      <c r="J66" s="175"/>
      <c r="K66" s="176"/>
    </row>
    <row r="67" spans="1:11" ht="12.75">
      <c r="A67" s="10" t="s">
        <v>128</v>
      </c>
      <c r="B67" s="28">
        <v>2300</v>
      </c>
      <c r="C67" s="2" t="s">
        <v>0</v>
      </c>
      <c r="D67" s="3">
        <f>B67*6.894757</f>
        <v>15857.9411</v>
      </c>
      <c r="E67" s="7" t="s">
        <v>9</v>
      </c>
      <c r="F67" s="174" t="s">
        <v>129</v>
      </c>
      <c r="G67" s="175"/>
      <c r="H67" s="175"/>
      <c r="I67" s="175"/>
      <c r="J67" s="175"/>
      <c r="K67" s="176"/>
    </row>
    <row r="68" spans="1:11" ht="12.75">
      <c r="A68" s="10" t="s">
        <v>130</v>
      </c>
      <c r="B68" s="28">
        <v>20000</v>
      </c>
      <c r="C68" s="2" t="s">
        <v>0</v>
      </c>
      <c r="D68" s="3">
        <f>B68*6.894757</f>
        <v>137895.14</v>
      </c>
      <c r="E68" s="7" t="s">
        <v>9</v>
      </c>
      <c r="F68" s="174" t="s">
        <v>131</v>
      </c>
      <c r="G68" s="175"/>
      <c r="H68" s="175"/>
      <c r="I68" s="175"/>
      <c r="J68" s="175"/>
      <c r="K68" s="176"/>
    </row>
    <row r="69" spans="1:11" ht="12.75">
      <c r="A69" s="10" t="s">
        <v>132</v>
      </c>
      <c r="B69" s="14">
        <f>IF(B51="a",(B52+(0.5*B53)),IF(B51="b",((B55-B56)/2),IF(B51="c",((B55-B56)/2))))</f>
        <v>3.2795275590551185</v>
      </c>
      <c r="C69" s="2" t="s">
        <v>47</v>
      </c>
      <c r="D69" s="3">
        <f>B69*25.4</f>
        <v>83.30000000000001</v>
      </c>
      <c r="E69" s="7" t="s">
        <v>2</v>
      </c>
      <c r="F69" s="174" t="s">
        <v>133</v>
      </c>
      <c r="G69" s="175"/>
      <c r="H69" s="175"/>
      <c r="I69" s="175"/>
      <c r="J69" s="175"/>
      <c r="K69" s="176"/>
    </row>
    <row r="70" spans="1:11" ht="12.75">
      <c r="A70" s="10" t="s">
        <v>134</v>
      </c>
      <c r="B70" s="14">
        <f>IF(B51="a",((B52+B53+B71)/2),IF(B51="b",((B69+B71)/2),IF(B51="c",((B55-B24)/2))))</f>
        <v>3.505917814576179</v>
      </c>
      <c r="C70" s="2" t="s">
        <v>47</v>
      </c>
      <c r="D70" s="3">
        <f>B70*25.4</f>
        <v>89.05031249023494</v>
      </c>
      <c r="E70" s="7" t="s">
        <v>2</v>
      </c>
      <c r="F70" s="174" t="s">
        <v>135</v>
      </c>
      <c r="G70" s="175"/>
      <c r="H70" s="175"/>
      <c r="I70" s="175"/>
      <c r="J70" s="175"/>
      <c r="K70" s="176"/>
    </row>
    <row r="71" spans="1:11" ht="12.75">
      <c r="A71" s="10" t="s">
        <v>136</v>
      </c>
      <c r="B71" s="14">
        <f>(B55-B24)/2</f>
        <v>2.8858513771838545</v>
      </c>
      <c r="C71" s="2" t="s">
        <v>47</v>
      </c>
      <c r="D71" s="3">
        <f>B71*25.4</f>
        <v>73.3006249804699</v>
      </c>
      <c r="E71" s="7" t="s">
        <v>2</v>
      </c>
      <c r="F71" s="174" t="s">
        <v>137</v>
      </c>
      <c r="G71" s="175"/>
      <c r="H71" s="175"/>
      <c r="I71" s="175"/>
      <c r="J71" s="175"/>
      <c r="K71" s="176"/>
    </row>
    <row r="72" spans="1:11" ht="12.75">
      <c r="A72" s="180" t="s">
        <v>138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2"/>
    </row>
    <row r="73" spans="1:11" ht="12.75">
      <c r="A73" s="10" t="s">
        <v>139</v>
      </c>
      <c r="B73" s="15">
        <f>3.1416*(B56^2)/4*B20</f>
        <v>144546.72942107666</v>
      </c>
      <c r="C73" s="2" t="s">
        <v>29</v>
      </c>
      <c r="D73" s="3">
        <f>B73*0.4535924</f>
        <v>65565.29791025678</v>
      </c>
      <c r="E73" s="7" t="s">
        <v>1</v>
      </c>
      <c r="F73" s="174" t="s">
        <v>140</v>
      </c>
      <c r="G73" s="175"/>
      <c r="H73" s="175"/>
      <c r="I73" s="175"/>
      <c r="J73" s="175"/>
      <c r="K73" s="176"/>
    </row>
    <row r="74" spans="1:11" ht="12.75">
      <c r="A74" s="10" t="s">
        <v>141</v>
      </c>
      <c r="B74" s="15">
        <f>B25-B73</f>
        <v>14615.154788551183</v>
      </c>
      <c r="C74" s="2" t="s">
        <v>29</v>
      </c>
      <c r="D74" s="3">
        <f>B74*0.4535924</f>
        <v>6629.323136910423</v>
      </c>
      <c r="E74" s="7" t="s">
        <v>1</v>
      </c>
      <c r="F74" s="174" t="s">
        <v>142</v>
      </c>
      <c r="G74" s="175"/>
      <c r="H74" s="175"/>
      <c r="I74" s="175"/>
      <c r="J74" s="175"/>
      <c r="K74" s="176"/>
    </row>
    <row r="75" spans="1:11" ht="21" customHeight="1">
      <c r="A75" s="10" t="s">
        <v>143</v>
      </c>
      <c r="B75" s="15">
        <f>B44-B25</f>
        <v>0</v>
      </c>
      <c r="C75" s="2" t="s">
        <v>29</v>
      </c>
      <c r="D75" s="3">
        <f>B75*0.4535924</f>
        <v>0</v>
      </c>
      <c r="E75" s="7" t="s">
        <v>1</v>
      </c>
      <c r="F75" s="174" t="s">
        <v>144</v>
      </c>
      <c r="G75" s="175"/>
      <c r="H75" s="175"/>
      <c r="I75" s="175"/>
      <c r="J75" s="175"/>
      <c r="K75" s="176"/>
    </row>
    <row r="76" spans="1:11" ht="12.75">
      <c r="A76" s="10" t="s">
        <v>145</v>
      </c>
      <c r="B76" s="15">
        <f>B73*B69</f>
        <v>474044.9827077042</v>
      </c>
      <c r="C76" s="2" t="s">
        <v>56</v>
      </c>
      <c r="D76" s="3">
        <f>B76*0.1152124</f>
        <v>54615.8601657131</v>
      </c>
      <c r="E76" s="7" t="s">
        <v>57</v>
      </c>
      <c r="F76" s="174" t="s">
        <v>146</v>
      </c>
      <c r="G76" s="175"/>
      <c r="H76" s="175"/>
      <c r="I76" s="175"/>
      <c r="J76" s="175"/>
      <c r="K76" s="176"/>
    </row>
    <row r="77" spans="1:11" ht="12.75">
      <c r="A77" s="10" t="s">
        <v>147</v>
      </c>
      <c r="B77" s="15">
        <f>B74*B70</f>
        <v>51239.531535969945</v>
      </c>
      <c r="C77" s="2" t="s">
        <v>56</v>
      </c>
      <c r="D77" s="3">
        <f>B77*0.1152124</f>
        <v>5903.4294031347845</v>
      </c>
      <c r="E77" s="7" t="s">
        <v>57</v>
      </c>
      <c r="F77" s="174" t="s">
        <v>148</v>
      </c>
      <c r="G77" s="175"/>
      <c r="H77" s="175"/>
      <c r="I77" s="175"/>
      <c r="J77" s="175"/>
      <c r="K77" s="176"/>
    </row>
    <row r="78" spans="1:11" ht="12.75">
      <c r="A78" s="10" t="s">
        <v>149</v>
      </c>
      <c r="B78" s="15">
        <f>B75*B71</f>
        <v>0</v>
      </c>
      <c r="C78" s="2" t="s">
        <v>56</v>
      </c>
      <c r="D78" s="3">
        <f>B78*0.1152124</f>
        <v>0</v>
      </c>
      <c r="E78" s="7" t="s">
        <v>57</v>
      </c>
      <c r="F78" s="174" t="s">
        <v>150</v>
      </c>
      <c r="G78" s="175"/>
      <c r="H78" s="175"/>
      <c r="I78" s="175"/>
      <c r="J78" s="175"/>
      <c r="K78" s="176"/>
    </row>
    <row r="79" spans="1:11" ht="12.75">
      <c r="A79" s="10" t="s">
        <v>151</v>
      </c>
      <c r="B79" s="15">
        <f>SUM(B76:B78)</f>
        <v>525284.5142436741</v>
      </c>
      <c r="C79" s="2" t="s">
        <v>56</v>
      </c>
      <c r="D79" s="3">
        <f>B79*0.1152124</f>
        <v>60519.28956884788</v>
      </c>
      <c r="E79" s="7" t="s">
        <v>57</v>
      </c>
      <c r="F79" s="174" t="s">
        <v>152</v>
      </c>
      <c r="G79" s="175"/>
      <c r="H79" s="175"/>
      <c r="I79" s="175"/>
      <c r="J79" s="175"/>
      <c r="K79" s="176"/>
    </row>
    <row r="80" spans="1:11" ht="12.75">
      <c r="A80" s="10" t="s">
        <v>153</v>
      </c>
      <c r="B80" s="32">
        <f>IF(B51="a",(B211*B79)/(B221*(B53^2)*B56),0)</f>
        <v>2873.144545058607</v>
      </c>
      <c r="C80" s="13" t="s">
        <v>0</v>
      </c>
      <c r="D80" s="3">
        <f>B80*6.894757</f>
        <v>19809.63346405465</v>
      </c>
      <c r="E80" s="7" t="s">
        <v>9</v>
      </c>
      <c r="F80" s="174" t="s">
        <v>154</v>
      </c>
      <c r="G80" s="175"/>
      <c r="H80" s="175"/>
      <c r="I80" s="175"/>
      <c r="J80" s="175"/>
      <c r="K80" s="176"/>
    </row>
    <row r="81" spans="1:11" ht="12.75">
      <c r="A81" s="10" t="s">
        <v>155</v>
      </c>
      <c r="B81" s="32">
        <f>IF(B51="a",(((1.33*B61*B60)+1)*B79)/(B221*(B61^2)*B56),0)</f>
        <v>629.1718091480623</v>
      </c>
      <c r="C81" s="13" t="s">
        <v>0</v>
      </c>
      <c r="D81" s="3">
        <f>B81*6.894757</f>
        <v>4337.986735326266</v>
      </c>
      <c r="E81" s="7" t="s">
        <v>9</v>
      </c>
      <c r="F81" s="174" t="s">
        <v>156</v>
      </c>
      <c r="G81" s="175"/>
      <c r="H81" s="175"/>
      <c r="I81" s="175"/>
      <c r="J81" s="175"/>
      <c r="K81" s="176"/>
    </row>
    <row r="82" spans="1:11" ht="21" customHeight="1">
      <c r="A82" s="10" t="s">
        <v>157</v>
      </c>
      <c r="B82" s="33">
        <f>IF(B51="a",((B215*B79)/((B61^2)*B56))-(B216*B81),(B215*B79)/((B61^2)*B56))</f>
        <v>1206.1813170616183</v>
      </c>
      <c r="C82" s="13" t="s">
        <v>0</v>
      </c>
      <c r="D82" s="3">
        <f>B82*6.894757</f>
        <v>8316.327079079812</v>
      </c>
      <c r="E82" s="7" t="s">
        <v>9</v>
      </c>
      <c r="F82" s="174" t="s">
        <v>158</v>
      </c>
      <c r="G82" s="175"/>
      <c r="H82" s="175"/>
      <c r="I82" s="175"/>
      <c r="J82" s="175"/>
      <c r="K82" s="176"/>
    </row>
    <row r="83" spans="1:11" ht="12.75">
      <c r="A83" s="183" t="s">
        <v>159</v>
      </c>
      <c r="B83" s="184"/>
      <c r="C83" s="185">
        <f>(B80+B81)/2</f>
        <v>1751.1581771033348</v>
      </c>
      <c r="D83" s="185"/>
      <c r="E83" s="17" t="s">
        <v>0</v>
      </c>
      <c r="F83" s="16">
        <f>C83*6.894757</f>
        <v>12073.810099690458</v>
      </c>
      <c r="G83" s="17" t="s">
        <v>9</v>
      </c>
      <c r="H83" s="177" t="s">
        <v>160</v>
      </c>
      <c r="I83" s="178"/>
      <c r="J83" s="178"/>
      <c r="K83" s="179"/>
    </row>
    <row r="84" spans="1:11" ht="12.75">
      <c r="A84" s="183" t="s">
        <v>161</v>
      </c>
      <c r="B84" s="184"/>
      <c r="C84" s="185">
        <f>(B80+B82)/2</f>
        <v>2039.6629310601127</v>
      </c>
      <c r="D84" s="185"/>
      <c r="E84" s="17" t="s">
        <v>0</v>
      </c>
      <c r="F84" s="16">
        <f>C84*6.894757</f>
        <v>14062.98027156723</v>
      </c>
      <c r="G84" s="17" t="s">
        <v>9</v>
      </c>
      <c r="H84" s="177" t="s">
        <v>160</v>
      </c>
      <c r="I84" s="178"/>
      <c r="J84" s="178"/>
      <c r="K84" s="179"/>
    </row>
    <row r="85" spans="1:11" ht="12.75">
      <c r="A85" s="180" t="s">
        <v>162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7"/>
    </row>
    <row r="86" spans="1:11" ht="12.75">
      <c r="A86" s="188" t="s">
        <v>163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2"/>
    </row>
    <row r="87" spans="1:11" ht="12.75">
      <c r="A87" s="188" t="s">
        <v>164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2"/>
    </row>
    <row r="88" spans="1:11" ht="12.75">
      <c r="A88" s="188" t="s">
        <v>165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2"/>
    </row>
    <row r="89" spans="1:11" ht="12.75">
      <c r="A89" s="188" t="s">
        <v>166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2"/>
    </row>
    <row r="90" spans="1:11" ht="12.75">
      <c r="A90" s="188" t="s">
        <v>167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2"/>
    </row>
    <row r="91" spans="1:11" ht="12.75">
      <c r="A91" s="183" t="s">
        <v>168</v>
      </c>
      <c r="B91" s="184"/>
      <c r="C91" s="29">
        <v>1</v>
      </c>
      <c r="D91" s="189" t="s">
        <v>169</v>
      </c>
      <c r="E91" s="189"/>
      <c r="F91" s="189"/>
      <c r="G91" s="189"/>
      <c r="H91" s="189"/>
      <c r="I91" s="189"/>
      <c r="J91" s="189"/>
      <c r="K91" s="190"/>
    </row>
    <row r="92" spans="1:11" ht="31.5" customHeight="1">
      <c r="A92" s="183" t="s">
        <v>170</v>
      </c>
      <c r="B92" s="184"/>
      <c r="C92" s="191">
        <f>IF(C91=1,MIN(1.5*B64,2.5*B67),IF(C91=2,MIN(1.5*B64,1.5*B67),IF(C91=3,MIN(1.5*B64,1.5*B67),IF(C91=4,"Não há tensão longitudinal"," "))))</f>
        <v>3450</v>
      </c>
      <c r="D92" s="191"/>
      <c r="E92" s="17" t="s">
        <v>0</v>
      </c>
      <c r="F92" s="18">
        <f>C92*6.894757</f>
        <v>23786.911650000002</v>
      </c>
      <c r="G92" s="17" t="s">
        <v>120</v>
      </c>
      <c r="H92" s="177" t="s">
        <v>171</v>
      </c>
      <c r="I92" s="178"/>
      <c r="J92" s="178"/>
      <c r="K92" s="179"/>
    </row>
    <row r="93" spans="1:11" ht="15.75" customHeight="1">
      <c r="A93" s="183" t="s">
        <v>172</v>
      </c>
      <c r="B93" s="184"/>
      <c r="C93" s="192">
        <f>IF(C91=4,"Não há tensão radial",B64)</f>
        <v>2300</v>
      </c>
      <c r="D93" s="193"/>
      <c r="E93" s="17" t="s">
        <v>0</v>
      </c>
      <c r="F93" s="18">
        <f>C93*6.894757</f>
        <v>15857.9411</v>
      </c>
      <c r="G93" s="7" t="s">
        <v>120</v>
      </c>
      <c r="H93" s="177" t="s">
        <v>122</v>
      </c>
      <c r="I93" s="178"/>
      <c r="J93" s="178"/>
      <c r="K93" s="179"/>
    </row>
    <row r="94" spans="1:11" ht="17.25" customHeight="1">
      <c r="A94" s="183" t="s">
        <v>173</v>
      </c>
      <c r="B94" s="184"/>
      <c r="C94" s="194">
        <f>B64</f>
        <v>2300</v>
      </c>
      <c r="D94" s="194"/>
      <c r="E94" s="17" t="s">
        <v>0</v>
      </c>
      <c r="F94" s="18">
        <f>C94*6.894757</f>
        <v>15857.9411</v>
      </c>
      <c r="G94" s="7" t="s">
        <v>120</v>
      </c>
      <c r="H94" s="177" t="s">
        <v>122</v>
      </c>
      <c r="I94" s="178"/>
      <c r="J94" s="178"/>
      <c r="K94" s="179"/>
    </row>
    <row r="95" spans="1:11" ht="12.75">
      <c r="A95" s="195" t="s">
        <v>174</v>
      </c>
      <c r="B95" s="196"/>
      <c r="C95" s="201" t="str">
        <f>IF(B80&lt;=C92,"A tensão longitudinal está Ok","A tensão longitudinal não passou")</f>
        <v>A tensão longitudinal está Ok</v>
      </c>
      <c r="D95" s="202"/>
      <c r="E95" s="202"/>
      <c r="F95" s="202"/>
      <c r="G95" s="202"/>
      <c r="H95" s="202"/>
      <c r="I95" s="202"/>
      <c r="J95" s="202"/>
      <c r="K95" s="203"/>
    </row>
    <row r="96" spans="1:11" ht="12.75">
      <c r="A96" s="197"/>
      <c r="B96" s="198"/>
      <c r="C96" s="201" t="str">
        <f>IF(B81&lt;=C93,"A tensão radial está Ok","A tensão radial não passou")</f>
        <v>A tensão radial está Ok</v>
      </c>
      <c r="D96" s="202"/>
      <c r="E96" s="202"/>
      <c r="F96" s="202"/>
      <c r="G96" s="202"/>
      <c r="H96" s="202"/>
      <c r="I96" s="202"/>
      <c r="J96" s="202"/>
      <c r="K96" s="203"/>
    </row>
    <row r="97" spans="1:11" ht="12.75">
      <c r="A97" s="197"/>
      <c r="B97" s="198"/>
      <c r="C97" s="201" t="str">
        <f>IF(B82&lt;=C94,"A tensão tangencial está Ok","A tensão tangencial não passou")</f>
        <v>A tensão tangencial está Ok</v>
      </c>
      <c r="D97" s="202"/>
      <c r="E97" s="202"/>
      <c r="F97" s="202"/>
      <c r="G97" s="202"/>
      <c r="H97" s="202"/>
      <c r="I97" s="202"/>
      <c r="J97" s="202"/>
      <c r="K97" s="203"/>
    </row>
    <row r="98" spans="1:11" ht="12.75">
      <c r="A98" s="197"/>
      <c r="B98" s="198"/>
      <c r="C98" s="201" t="str">
        <f>IF(C83&lt;=B64,"Ok, ((SHO+SRO)/2) é menor do que Sfp","Não passou: ((SHO+SRO)/2) é maior do que Sfp")</f>
        <v>Ok, ((SHO+SRO)/2) é menor do que Sfp</v>
      </c>
      <c r="D98" s="202"/>
      <c r="E98" s="202"/>
      <c r="F98" s="202"/>
      <c r="G98" s="202"/>
      <c r="H98" s="202"/>
      <c r="I98" s="202"/>
      <c r="J98" s="202"/>
      <c r="K98" s="203"/>
    </row>
    <row r="99" spans="1:11" ht="12.75">
      <c r="A99" s="199"/>
      <c r="B99" s="200"/>
      <c r="C99" s="201" t="str">
        <f>IF(C84&lt;=B64,"Ok, ((SHO+STO)/2) é menor do que Sfp","Não passou: ((SHO+STO)/2) é mairo do que Sfp")</f>
        <v>Ok, ((SHO+STO)/2) é menor do que Sfp</v>
      </c>
      <c r="D99" s="202"/>
      <c r="E99" s="202"/>
      <c r="F99" s="202"/>
      <c r="G99" s="202"/>
      <c r="H99" s="202"/>
      <c r="I99" s="202"/>
      <c r="J99" s="202"/>
      <c r="K99" s="203"/>
    </row>
    <row r="100" spans="1:11" ht="12.75">
      <c r="A100" s="180" t="s">
        <v>175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2"/>
    </row>
    <row r="101" spans="1:11" ht="12.75">
      <c r="A101" s="10" t="s">
        <v>176</v>
      </c>
      <c r="B101" s="15">
        <f>B43*(B55-B24)/2</f>
        <v>2671130.3285479746</v>
      </c>
      <c r="C101" s="2" t="s">
        <v>56</v>
      </c>
      <c r="D101" s="16">
        <f>B101*0.1152124</f>
        <v>307747.33586480067</v>
      </c>
      <c r="E101" s="7" t="s">
        <v>57</v>
      </c>
      <c r="F101" s="174" t="s">
        <v>177</v>
      </c>
      <c r="G101" s="175"/>
      <c r="H101" s="175"/>
      <c r="I101" s="175"/>
      <c r="J101" s="175"/>
      <c r="K101" s="176"/>
    </row>
    <row r="102" spans="1:11" ht="12.75">
      <c r="A102" s="10" t="s">
        <v>178</v>
      </c>
      <c r="B102" s="32">
        <f>IF(B51="a",(B211*B101)/(B221*(B53^2)*B56),0)</f>
        <v>14610.260391282114</v>
      </c>
      <c r="C102" s="13" t="s">
        <v>0</v>
      </c>
      <c r="D102" s="16">
        <f>B102*6.894757</f>
        <v>100734.1951046151</v>
      </c>
      <c r="E102" s="7" t="s">
        <v>120</v>
      </c>
      <c r="F102" s="174" t="s">
        <v>179</v>
      </c>
      <c r="G102" s="175"/>
      <c r="H102" s="175"/>
      <c r="I102" s="175"/>
      <c r="J102" s="175"/>
      <c r="K102" s="176"/>
    </row>
    <row r="103" spans="1:11" ht="12.75">
      <c r="A103" s="10" t="s">
        <v>180</v>
      </c>
      <c r="B103" s="32">
        <f>IF(B51="a",(((1.33*B61*B60)+1)*B101)/(B221*(B61^2)*B56),0)</f>
        <v>3199.4088074394936</v>
      </c>
      <c r="C103" s="13" t="s">
        <v>0</v>
      </c>
      <c r="D103" s="16">
        <f>B103*6.894757</f>
        <v>22059.1462709551</v>
      </c>
      <c r="E103" s="7" t="s">
        <v>120</v>
      </c>
      <c r="F103" s="174" t="s">
        <v>181</v>
      </c>
      <c r="G103" s="175"/>
      <c r="H103" s="175"/>
      <c r="I103" s="175"/>
      <c r="J103" s="175"/>
      <c r="K103" s="176"/>
    </row>
    <row r="104" spans="1:11" ht="24.75" customHeight="1">
      <c r="A104" s="10" t="s">
        <v>182</v>
      </c>
      <c r="B104" s="33">
        <f>IF(B51="a",((B215*B101)/((B61^2)*B56))-(B216*B103),(B215*B101)/((B61^2)*B56))</f>
        <v>6133.566496568446</v>
      </c>
      <c r="C104" s="13" t="s">
        <v>0</v>
      </c>
      <c r="D104" s="16">
        <f>B104*6.894757</f>
        <v>42289.450537180775</v>
      </c>
      <c r="E104" s="7" t="s">
        <v>120</v>
      </c>
      <c r="F104" s="174" t="s">
        <v>183</v>
      </c>
      <c r="G104" s="175"/>
      <c r="H104" s="175"/>
      <c r="I104" s="175"/>
      <c r="J104" s="175"/>
      <c r="K104" s="176"/>
    </row>
    <row r="105" spans="1:11" ht="12.75">
      <c r="A105" s="183" t="s">
        <v>184</v>
      </c>
      <c r="B105" s="184"/>
      <c r="C105" s="204">
        <f>(B102+B103)/2</f>
        <v>8904.834599360804</v>
      </c>
      <c r="D105" s="205"/>
      <c r="E105" s="17" t="s">
        <v>0</v>
      </c>
      <c r="F105" s="3">
        <f>C105*6.894757</f>
        <v>61396.670687785096</v>
      </c>
      <c r="G105" s="7" t="s">
        <v>120</v>
      </c>
      <c r="H105" s="177" t="s">
        <v>185</v>
      </c>
      <c r="I105" s="178"/>
      <c r="J105" s="178"/>
      <c r="K105" s="179"/>
    </row>
    <row r="106" spans="1:11" ht="12.75">
      <c r="A106" s="183" t="s">
        <v>186</v>
      </c>
      <c r="B106" s="184"/>
      <c r="C106" s="204">
        <f>(B102+B104)/2</f>
        <v>10371.913443925281</v>
      </c>
      <c r="D106" s="205"/>
      <c r="E106" s="17" t="s">
        <v>0</v>
      </c>
      <c r="F106" s="3">
        <f>C106*6.894757</f>
        <v>71511.82282089794</v>
      </c>
      <c r="G106" s="7" t="s">
        <v>120</v>
      </c>
      <c r="H106" s="177" t="s">
        <v>185</v>
      </c>
      <c r="I106" s="178"/>
      <c r="J106" s="178"/>
      <c r="K106" s="179"/>
    </row>
    <row r="107" spans="1:11" ht="12.75">
      <c r="A107" s="206" t="s">
        <v>187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8"/>
    </row>
    <row r="108" spans="1:11" ht="12.75">
      <c r="A108" s="195" t="s">
        <v>188</v>
      </c>
      <c r="B108" s="196"/>
      <c r="C108" s="201" t="str">
        <f>IF(B102&lt;=1.5*B65,"A tensão longitudinal está Ok","A tensão longitudinal não passou")</f>
        <v>A tensão longitudinal está Ok</v>
      </c>
      <c r="D108" s="202"/>
      <c r="E108" s="202"/>
      <c r="F108" s="202"/>
      <c r="G108" s="202"/>
      <c r="H108" s="202"/>
      <c r="I108" s="202"/>
      <c r="J108" s="202"/>
      <c r="K108" s="203"/>
    </row>
    <row r="109" spans="1:11" ht="12.75">
      <c r="A109" s="197"/>
      <c r="B109" s="198"/>
      <c r="C109" s="201" t="str">
        <f>IF(B103&lt;=B65,"A tensão radial está Ok","A tensão radial não passou")</f>
        <v>A tensão radial está Ok</v>
      </c>
      <c r="D109" s="202"/>
      <c r="E109" s="202"/>
      <c r="F109" s="202"/>
      <c r="G109" s="202"/>
      <c r="H109" s="202"/>
      <c r="I109" s="202"/>
      <c r="J109" s="202"/>
      <c r="K109" s="203"/>
    </row>
    <row r="110" spans="1:11" ht="12.75">
      <c r="A110" s="197"/>
      <c r="B110" s="198"/>
      <c r="C110" s="201" t="str">
        <f>IF(B104&lt;=B65,"A tensão tangencial está Ok","A tensão tangencial não passou")</f>
        <v>A tensão tangencial está Ok</v>
      </c>
      <c r="D110" s="202"/>
      <c r="E110" s="202"/>
      <c r="F110" s="202"/>
      <c r="G110" s="202"/>
      <c r="H110" s="202"/>
      <c r="I110" s="202"/>
      <c r="J110" s="202"/>
      <c r="K110" s="203"/>
    </row>
    <row r="111" spans="1:11" ht="12.75">
      <c r="A111" s="197"/>
      <c r="B111" s="198"/>
      <c r="C111" s="201" t="str">
        <f>IF(C105&lt;=B65,"Ok, ((SHA+SRA)/2) é menor do que Sff","Não passou: ((SHA+SRA)/2) é maior do que Sff")</f>
        <v>Ok, ((SHA+SRA)/2) é menor do que Sff</v>
      </c>
      <c r="D111" s="202"/>
      <c r="E111" s="202"/>
      <c r="F111" s="202"/>
      <c r="G111" s="202"/>
      <c r="H111" s="202"/>
      <c r="I111" s="202"/>
      <c r="J111" s="202"/>
      <c r="K111" s="203"/>
    </row>
    <row r="112" spans="1:11" ht="12.75">
      <c r="A112" s="199"/>
      <c r="B112" s="200"/>
      <c r="C112" s="201" t="str">
        <f>IF(C106&lt;=B65,"Ok, ((SHA+STA)/2) é menor do que Sff","Não passou: ((SHA+STA)/2) é maior do que Sff")</f>
        <v>Ok, ((SHA+STA)/2) é menor do que Sff</v>
      </c>
      <c r="D112" s="202"/>
      <c r="E112" s="202"/>
      <c r="F112" s="202"/>
      <c r="G112" s="202"/>
      <c r="H112" s="202"/>
      <c r="I112" s="202"/>
      <c r="J112" s="202"/>
      <c r="K112" s="203"/>
    </row>
    <row r="113" spans="1:11" ht="21.75" customHeight="1">
      <c r="A113" s="206" t="s">
        <v>189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10"/>
    </row>
    <row r="114" spans="1:13" ht="12.75">
      <c r="A114" s="10" t="s">
        <v>190</v>
      </c>
      <c r="B114" s="28">
        <v>42062.853064765884</v>
      </c>
      <c r="C114" s="2" t="s">
        <v>0</v>
      </c>
      <c r="D114" s="16">
        <f>B114*6.894757</f>
        <v>290013.15060826606</v>
      </c>
      <c r="E114" s="7" t="s">
        <v>120</v>
      </c>
      <c r="F114" s="174" t="s">
        <v>191</v>
      </c>
      <c r="G114" s="175"/>
      <c r="H114" s="175"/>
      <c r="I114" s="175"/>
      <c r="J114" s="175"/>
      <c r="K114" s="176"/>
      <c r="L114" s="34">
        <f>B116/B36</f>
        <v>55775.34316387957</v>
      </c>
      <c r="M114" s="34">
        <f>D116/B36</f>
        <v>25299.271766527727</v>
      </c>
    </row>
    <row r="115" spans="1:12" ht="12.75">
      <c r="A115" s="19" t="s">
        <v>192</v>
      </c>
      <c r="B115" s="20">
        <f>+B114*0.5</f>
        <v>21031.426532382942</v>
      </c>
      <c r="C115" s="2" t="s">
        <v>0</v>
      </c>
      <c r="D115" s="16">
        <f>B115*6.894757</f>
        <v>145006.57530413303</v>
      </c>
      <c r="E115" s="7" t="s">
        <v>120</v>
      </c>
      <c r="F115" s="174" t="s">
        <v>193</v>
      </c>
      <c r="G115" s="175"/>
      <c r="H115" s="175"/>
      <c r="I115" s="175"/>
      <c r="J115" s="175"/>
      <c r="K115" s="176"/>
      <c r="L115" s="28">
        <f>B116/B37/B36</f>
        <v>21031.426532382942</v>
      </c>
    </row>
    <row r="116" spans="1:11" ht="18.75" customHeight="1">
      <c r="A116" s="19" t="s">
        <v>194</v>
      </c>
      <c r="B116" s="16">
        <f>+B115*B37*B36</f>
        <v>1784810.9812441461</v>
      </c>
      <c r="C116" s="2" t="s">
        <v>29</v>
      </c>
      <c r="D116" s="30">
        <f>B116*0.4535924</f>
        <v>809576.6965288873</v>
      </c>
      <c r="E116" s="7" t="s">
        <v>1</v>
      </c>
      <c r="F116" s="174" t="s">
        <v>195</v>
      </c>
      <c r="G116" s="175"/>
      <c r="H116" s="175"/>
      <c r="I116" s="175"/>
      <c r="J116" s="175"/>
      <c r="K116" s="176"/>
    </row>
    <row r="117" spans="1:11" ht="18" customHeight="1">
      <c r="A117" s="10" t="s">
        <v>196</v>
      </c>
      <c r="B117" s="15">
        <f>B116*(B55-B24)/2</f>
        <v>5150699.228236286</v>
      </c>
      <c r="C117" s="2" t="s">
        <v>56</v>
      </c>
      <c r="D117" s="16">
        <f>B117*0.1152124</f>
        <v>593424.4197632503</v>
      </c>
      <c r="E117" s="7" t="s">
        <v>57</v>
      </c>
      <c r="F117" s="174" t="s">
        <v>197</v>
      </c>
      <c r="G117" s="175"/>
      <c r="H117" s="175"/>
      <c r="I117" s="175"/>
      <c r="J117" s="175"/>
      <c r="K117" s="176"/>
    </row>
    <row r="118" spans="1:11" ht="20.25" customHeight="1">
      <c r="A118" s="10" t="s">
        <v>198</v>
      </c>
      <c r="B118" s="32">
        <f>IF(B51="a",(B211*B117)/(B221*(B53^2)*B56),0)</f>
        <v>28172.738753116362</v>
      </c>
      <c r="C118" s="13" t="s">
        <v>0</v>
      </c>
      <c r="D118" s="16">
        <f>B118*6.894757</f>
        <v>194244.18772722033</v>
      </c>
      <c r="E118" s="7" t="s">
        <v>120</v>
      </c>
      <c r="F118" s="174" t="s">
        <v>199</v>
      </c>
      <c r="G118" s="175"/>
      <c r="H118" s="175"/>
      <c r="I118" s="175"/>
      <c r="J118" s="175"/>
      <c r="K118" s="176"/>
    </row>
    <row r="119" spans="1:11" ht="21" customHeight="1">
      <c r="A119" s="10" t="s">
        <v>200</v>
      </c>
      <c r="B119" s="32">
        <f>IF(B51="a",(((1.33*B61*B60)+1)*B117)/(B221*(B61^2)*B56),0)</f>
        <v>6169.37043436928</v>
      </c>
      <c r="C119" s="13" t="s">
        <v>0</v>
      </c>
      <c r="D119" s="16">
        <f>B119*6.894757</f>
        <v>42536.30998796063</v>
      </c>
      <c r="E119" s="7" t="s">
        <v>120</v>
      </c>
      <c r="F119" s="174" t="s">
        <v>201</v>
      </c>
      <c r="G119" s="175"/>
      <c r="H119" s="175"/>
      <c r="I119" s="175"/>
      <c r="J119" s="175"/>
      <c r="K119" s="176"/>
    </row>
    <row r="120" spans="1:11" ht="18" customHeight="1">
      <c r="A120" s="10" t="s">
        <v>202</v>
      </c>
      <c r="B120" s="33">
        <f>IF(B51="a",((B215*B117)/((B61^2)*B56))-(B216*B119),(B215*B117)/((B61^2)*B56))</f>
        <v>11827.261246883645</v>
      </c>
      <c r="C120" s="13" t="s">
        <v>0</v>
      </c>
      <c r="D120" s="16">
        <f>B120*6.894757</f>
        <v>81546.09227277974</v>
      </c>
      <c r="E120" s="7" t="s">
        <v>120</v>
      </c>
      <c r="F120" s="174" t="s">
        <v>203</v>
      </c>
      <c r="G120" s="175"/>
      <c r="H120" s="175"/>
      <c r="I120" s="175"/>
      <c r="J120" s="175"/>
      <c r="K120" s="176"/>
    </row>
    <row r="121" spans="1:11" ht="12.75">
      <c r="A121" s="183" t="s">
        <v>204</v>
      </c>
      <c r="B121" s="184"/>
      <c r="C121" s="211">
        <f>(B118+B119)/2</f>
        <v>17171.05459374282</v>
      </c>
      <c r="D121" s="211"/>
      <c r="E121" s="17" t="s">
        <v>0</v>
      </c>
      <c r="F121" s="16">
        <f>C121*6.894757</f>
        <v>118390.24885759047</v>
      </c>
      <c r="G121" s="7" t="s">
        <v>120</v>
      </c>
      <c r="H121" s="177" t="s">
        <v>185</v>
      </c>
      <c r="I121" s="178"/>
      <c r="J121" s="178"/>
      <c r="K121" s="179"/>
    </row>
    <row r="122" spans="1:11" ht="12.75">
      <c r="A122" s="183" t="s">
        <v>205</v>
      </c>
      <c r="B122" s="184"/>
      <c r="C122" s="211">
        <f>(B118+B120)/2</f>
        <v>20000.000000000004</v>
      </c>
      <c r="D122" s="211"/>
      <c r="E122" s="17" t="s">
        <v>0</v>
      </c>
      <c r="F122" s="16">
        <f>C122*6.894757</f>
        <v>137895.14000000004</v>
      </c>
      <c r="G122" s="7" t="s">
        <v>120</v>
      </c>
      <c r="H122" s="177" t="s">
        <v>185</v>
      </c>
      <c r="I122" s="178"/>
      <c r="J122" s="178"/>
      <c r="K122" s="179"/>
    </row>
    <row r="123" spans="1:11" ht="12.75">
      <c r="A123" s="206" t="s">
        <v>206</v>
      </c>
      <c r="B123" s="207"/>
      <c r="C123" s="207"/>
      <c r="D123" s="207"/>
      <c r="E123" s="207"/>
      <c r="F123" s="207"/>
      <c r="G123" s="207"/>
      <c r="H123" s="207"/>
      <c r="I123" s="207"/>
      <c r="J123" s="207"/>
      <c r="K123" s="208"/>
    </row>
    <row r="124" spans="1:11" ht="12.75">
      <c r="A124" s="195" t="s">
        <v>207</v>
      </c>
      <c r="B124" s="196"/>
      <c r="C124" s="201" t="str">
        <f>IF(B118&lt;=1.5*B65,"A tensão longitudinal está Ok","A tensão longitudinal não passou")</f>
        <v>A tensão longitudinal está Ok</v>
      </c>
      <c r="D124" s="202"/>
      <c r="E124" s="202"/>
      <c r="F124" s="202"/>
      <c r="G124" s="202"/>
      <c r="H124" s="202"/>
      <c r="I124" s="202"/>
      <c r="J124" s="202"/>
      <c r="K124" s="203"/>
    </row>
    <row r="125" spans="1:11" ht="12.75">
      <c r="A125" s="197"/>
      <c r="B125" s="198"/>
      <c r="C125" s="201" t="str">
        <f>IF(B119&lt;=B65,"A tensão radial está Ok","A tensão radial não passou")</f>
        <v>A tensão radial está Ok</v>
      </c>
      <c r="D125" s="202"/>
      <c r="E125" s="202"/>
      <c r="F125" s="202"/>
      <c r="G125" s="202"/>
      <c r="H125" s="202"/>
      <c r="I125" s="202"/>
      <c r="J125" s="202"/>
      <c r="K125" s="203"/>
    </row>
    <row r="126" spans="1:11" ht="12.75">
      <c r="A126" s="197"/>
      <c r="B126" s="198"/>
      <c r="C126" s="201" t="str">
        <f>IF(B120&lt;=B65,"A tensão tangencial está Ok","A tensão tangencial não passou")</f>
        <v>A tensão tangencial está Ok</v>
      </c>
      <c r="D126" s="202"/>
      <c r="E126" s="202"/>
      <c r="F126" s="202"/>
      <c r="G126" s="202"/>
      <c r="H126" s="202"/>
      <c r="I126" s="202"/>
      <c r="J126" s="202"/>
      <c r="K126" s="203"/>
    </row>
    <row r="127" spans="1:11" ht="12.75">
      <c r="A127" s="197"/>
      <c r="B127" s="198"/>
      <c r="C127" s="201" t="str">
        <f>IF(C121&lt;=B65,"Ok, ((SHI+SRI)/2) é menor do que Sff","Não passou: ((SHI+SRI)/2) é maior do que Sff")</f>
        <v>Ok, ((SHI+SRI)/2) é menor do que Sff</v>
      </c>
      <c r="D127" s="202"/>
      <c r="E127" s="202"/>
      <c r="F127" s="202"/>
      <c r="G127" s="202"/>
      <c r="H127" s="202"/>
      <c r="I127" s="202"/>
      <c r="J127" s="202"/>
      <c r="K127" s="203"/>
    </row>
    <row r="128" spans="1:11" ht="12.75">
      <c r="A128" s="199"/>
      <c r="B128" s="200"/>
      <c r="C128" s="201" t="str">
        <f>IF(C122&lt;=B65,"Ok, ((SHI+STI)/2) é menor do que Sff","Não passou: ((SHI+STI)/2) é maior do que Sff")</f>
        <v>Ok, ((SHI+STI)/2) é menor do que Sff</v>
      </c>
      <c r="D128" s="202"/>
      <c r="E128" s="202"/>
      <c r="F128" s="202"/>
      <c r="G128" s="202"/>
      <c r="H128" s="202"/>
      <c r="I128" s="202"/>
      <c r="J128" s="202"/>
      <c r="K128" s="203"/>
    </row>
    <row r="129" spans="1:11" ht="12.75">
      <c r="A129" s="180" t="s">
        <v>208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7"/>
    </row>
    <row r="130" spans="1:11" ht="12.75" customHeight="1">
      <c r="A130" s="162">
        <v>125</v>
      </c>
      <c r="B130" s="163"/>
      <c r="C130" s="163"/>
      <c r="D130" s="163"/>
      <c r="E130" s="163"/>
      <c r="F130" s="163"/>
      <c r="G130" s="163"/>
      <c r="H130" s="163"/>
      <c r="I130" s="163"/>
      <c r="J130" s="163"/>
      <c r="K130" s="164"/>
    </row>
    <row r="131" spans="1:11" ht="12.75">
      <c r="A131" s="165" t="s">
        <v>209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7"/>
    </row>
    <row r="132" spans="1:11" ht="12.75">
      <c r="A132" s="165" t="s">
        <v>210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7"/>
    </row>
    <row r="133" spans="1:11" ht="12.75">
      <c r="A133" s="168" t="s">
        <v>211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70"/>
    </row>
    <row r="134" spans="1:11" ht="12.75">
      <c r="A134" s="21" t="s">
        <v>212</v>
      </c>
      <c r="B134" s="31" t="s">
        <v>92</v>
      </c>
      <c r="C134" s="212" t="s">
        <v>213</v>
      </c>
      <c r="D134" s="213"/>
      <c r="E134" s="213"/>
      <c r="F134" s="213"/>
      <c r="G134" s="213"/>
      <c r="H134" s="213"/>
      <c r="I134" s="213"/>
      <c r="J134" s="213"/>
      <c r="K134" s="214"/>
    </row>
    <row r="135" spans="1:11" ht="12.75">
      <c r="A135" s="154" t="s">
        <v>214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6"/>
    </row>
    <row r="136" spans="1:11" ht="12.75">
      <c r="A136" s="10" t="s">
        <v>151</v>
      </c>
      <c r="B136" s="35">
        <f>+B79</f>
        <v>525284.5142436741</v>
      </c>
      <c r="C136" s="10" t="s">
        <v>215</v>
      </c>
      <c r="D136" s="16">
        <f>B136*0.1152124</f>
        <v>60519.28956884788</v>
      </c>
      <c r="E136" s="7" t="s">
        <v>57</v>
      </c>
      <c r="F136" s="171" t="s">
        <v>216</v>
      </c>
      <c r="G136" s="172"/>
      <c r="H136" s="172"/>
      <c r="I136" s="172"/>
      <c r="J136" s="172"/>
      <c r="K136" s="173"/>
    </row>
    <row r="137" spans="1:11" ht="18.75" customHeight="1">
      <c r="A137" s="10" t="s">
        <v>217</v>
      </c>
      <c r="B137" s="36">
        <f>(52.14*B136*B207)/(B221*B63*(B54^2)*B59*0.3)</f>
        <v>0.09605247340137957</v>
      </c>
      <c r="C137" s="13" t="s">
        <v>218</v>
      </c>
      <c r="D137" s="22">
        <f>B137</f>
        <v>0.09605247340137957</v>
      </c>
      <c r="E137" s="13" t="s">
        <v>218</v>
      </c>
      <c r="F137" s="174" t="s">
        <v>219</v>
      </c>
      <c r="G137" s="175"/>
      <c r="H137" s="175"/>
      <c r="I137" s="175"/>
      <c r="J137" s="175"/>
      <c r="K137" s="176"/>
    </row>
    <row r="138" spans="1:11" ht="21.75" customHeight="1">
      <c r="A138" s="1" t="s">
        <v>220</v>
      </c>
      <c r="B138" s="36">
        <f>(52.14*B136*B210)/(B222*B63*(B54^2)*B59*0.2)</f>
        <v>0.24409030873365006</v>
      </c>
      <c r="C138" s="2" t="s">
        <v>218</v>
      </c>
      <c r="D138" s="22">
        <f>B138</f>
        <v>0.24409030873365006</v>
      </c>
      <c r="E138" s="2" t="s">
        <v>218</v>
      </c>
      <c r="F138" s="148" t="s">
        <v>221</v>
      </c>
      <c r="G138" s="149"/>
      <c r="H138" s="149"/>
      <c r="I138" s="149"/>
      <c r="J138" s="149"/>
      <c r="K138" s="150"/>
    </row>
    <row r="139" spans="1:11" ht="18" customHeight="1">
      <c r="A139" s="10" t="s">
        <v>222</v>
      </c>
      <c r="B139" s="36">
        <f>(109.4*B136)/(B63*(B61^3)*(LN(B213))*0.2)</f>
        <v>0.42749930996786234</v>
      </c>
      <c r="C139" s="13" t="s">
        <v>218</v>
      </c>
      <c r="D139" s="22">
        <f>B139</f>
        <v>0.42749930996786234</v>
      </c>
      <c r="E139" s="13" t="s">
        <v>218</v>
      </c>
      <c r="F139" s="174" t="s">
        <v>223</v>
      </c>
      <c r="G139" s="175"/>
      <c r="H139" s="175"/>
      <c r="I139" s="175"/>
      <c r="J139" s="175"/>
      <c r="K139" s="176"/>
    </row>
    <row r="140" spans="1:11" ht="12.75">
      <c r="A140" s="1" t="s">
        <v>224</v>
      </c>
      <c r="B140" s="23">
        <f>IF(B134="a",B137,IF(B134="b",B138,IF(B134="c",B139)))</f>
        <v>0.09605247340137957</v>
      </c>
      <c r="C140" s="2" t="s">
        <v>14</v>
      </c>
      <c r="D140" s="22">
        <f>B140</f>
        <v>0.09605247340137957</v>
      </c>
      <c r="E140" s="2" t="s">
        <v>14</v>
      </c>
      <c r="F140" s="148" t="s">
        <v>225</v>
      </c>
      <c r="G140" s="149"/>
      <c r="H140" s="149"/>
      <c r="I140" s="149"/>
      <c r="J140" s="149"/>
      <c r="K140" s="150"/>
    </row>
    <row r="141" spans="1:11" ht="12.75" customHeight="1">
      <c r="A141" s="217" t="s">
        <v>226</v>
      </c>
      <c r="B141" s="218"/>
      <c r="C141" s="218"/>
      <c r="D141" s="218"/>
      <c r="E141" s="219"/>
      <c r="F141" s="220" t="str">
        <f>+IF(B140&lt;=1,"OK, os flanges tem rigidez suficiente","Reanalisar, os flanges não tem rigidez suficiente")</f>
        <v>OK, os flanges tem rigidez suficiente</v>
      </c>
      <c r="G141" s="221"/>
      <c r="H141" s="221"/>
      <c r="I141" s="221"/>
      <c r="J141" s="221"/>
      <c r="K141" s="222"/>
    </row>
    <row r="142" spans="1:11" ht="12.75">
      <c r="A142" s="154" t="s">
        <v>227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216"/>
    </row>
    <row r="143" spans="1:11" ht="12.75">
      <c r="A143" s="10" t="s">
        <v>176</v>
      </c>
      <c r="B143" s="35">
        <f>+B101</f>
        <v>2671130.3285479746</v>
      </c>
      <c r="C143" s="10" t="s">
        <v>215</v>
      </c>
      <c r="D143" s="16">
        <f>B143*0.1152124</f>
        <v>307747.33586480067</v>
      </c>
      <c r="E143" s="7" t="s">
        <v>57</v>
      </c>
      <c r="F143" s="171" t="s">
        <v>228</v>
      </c>
      <c r="G143" s="172"/>
      <c r="H143" s="172"/>
      <c r="I143" s="172"/>
      <c r="J143" s="172"/>
      <c r="K143" s="173"/>
    </row>
    <row r="144" spans="1:11" ht="19.5" customHeight="1">
      <c r="A144" s="10" t="s">
        <v>217</v>
      </c>
      <c r="B144" s="36">
        <f>(52.14*B143*B207)/(B221*B63*(B54^2)*B59*0.3)</f>
        <v>0.48843753790056144</v>
      </c>
      <c r="C144" s="13" t="s">
        <v>218</v>
      </c>
      <c r="D144" s="22">
        <f>B144</f>
        <v>0.48843753790056144</v>
      </c>
      <c r="E144" s="13" t="s">
        <v>218</v>
      </c>
      <c r="F144" s="174" t="s">
        <v>219</v>
      </c>
      <c r="G144" s="175"/>
      <c r="H144" s="175"/>
      <c r="I144" s="175"/>
      <c r="J144" s="175"/>
      <c r="K144" s="176"/>
    </row>
    <row r="145" spans="1:11" ht="18" customHeight="1">
      <c r="A145" s="1" t="s">
        <v>220</v>
      </c>
      <c r="B145" s="36">
        <f>(52.14*B143*B210)/(B222*B63*(B54^2)*B59*0.2)</f>
        <v>1.2412264380225695</v>
      </c>
      <c r="C145" s="2" t="s">
        <v>218</v>
      </c>
      <c r="D145" s="22">
        <f>B145</f>
        <v>1.2412264380225695</v>
      </c>
      <c r="E145" s="2" t="s">
        <v>218</v>
      </c>
      <c r="F145" s="148" t="s">
        <v>221</v>
      </c>
      <c r="G145" s="149"/>
      <c r="H145" s="149"/>
      <c r="I145" s="149"/>
      <c r="J145" s="149"/>
      <c r="K145" s="150"/>
    </row>
    <row r="146" spans="1:11" ht="24.75" customHeight="1">
      <c r="A146" s="10" t="s">
        <v>222</v>
      </c>
      <c r="B146" s="36">
        <f>(109.4*B143)/(B63*(B61^3)*(LN(B213))*0.2)</f>
        <v>2.1738816609369334</v>
      </c>
      <c r="C146" s="13" t="s">
        <v>218</v>
      </c>
      <c r="D146" s="22">
        <f>B146</f>
        <v>2.1738816609369334</v>
      </c>
      <c r="E146" s="13" t="s">
        <v>218</v>
      </c>
      <c r="F146" s="174" t="s">
        <v>223</v>
      </c>
      <c r="G146" s="175"/>
      <c r="H146" s="175"/>
      <c r="I146" s="175"/>
      <c r="J146" s="175"/>
      <c r="K146" s="176"/>
    </row>
    <row r="147" spans="1:11" ht="12.75">
      <c r="A147" s="1" t="s">
        <v>224</v>
      </c>
      <c r="B147" s="23">
        <f>IF(B134="a",B144,IF(B134="b",B145,IF(B134="c",B146)))</f>
        <v>0.48843753790056144</v>
      </c>
      <c r="C147" s="2" t="s">
        <v>14</v>
      </c>
      <c r="D147" s="22">
        <f>B147</f>
        <v>0.48843753790056144</v>
      </c>
      <c r="E147" s="2" t="s">
        <v>14</v>
      </c>
      <c r="F147" s="148" t="s">
        <v>229</v>
      </c>
      <c r="G147" s="149"/>
      <c r="H147" s="149"/>
      <c r="I147" s="149"/>
      <c r="J147" s="149"/>
      <c r="K147" s="150"/>
    </row>
    <row r="148" spans="1:11" ht="12.75" customHeight="1">
      <c r="A148" s="217" t="s">
        <v>226</v>
      </c>
      <c r="B148" s="218"/>
      <c r="C148" s="218"/>
      <c r="D148" s="218"/>
      <c r="E148" s="219"/>
      <c r="F148" s="220" t="str">
        <f>+IF(B147&lt;=1,"OK, os flanges tem rigidez suficiente","Reanalisar, os flanges não tem rigidez suficiente")</f>
        <v>OK, os flanges tem rigidez suficiente</v>
      </c>
      <c r="G148" s="221"/>
      <c r="H148" s="221"/>
      <c r="I148" s="221"/>
      <c r="J148" s="221"/>
      <c r="K148" s="222"/>
    </row>
    <row r="149" spans="1:11" ht="12.75">
      <c r="A149" s="154" t="s">
        <v>230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6"/>
    </row>
    <row r="150" spans="1:11" ht="12.75">
      <c r="A150" s="10" t="s">
        <v>196</v>
      </c>
      <c r="B150" s="35">
        <f>+B117</f>
        <v>5150699.228236286</v>
      </c>
      <c r="C150" s="10" t="s">
        <v>215</v>
      </c>
      <c r="D150" s="16">
        <f>B150*0.1152124</f>
        <v>593424.4197632503</v>
      </c>
      <c r="E150" s="7" t="s">
        <v>57</v>
      </c>
      <c r="F150" s="171" t="s">
        <v>231</v>
      </c>
      <c r="G150" s="172"/>
      <c r="H150" s="172"/>
      <c r="I150" s="172"/>
      <c r="J150" s="172"/>
      <c r="K150" s="173"/>
    </row>
    <row r="151" spans="1:11" ht="24.75" customHeight="1">
      <c r="A151" s="10" t="s">
        <v>217</v>
      </c>
      <c r="B151" s="36">
        <f>(52.14*B150*B207)/(B221*B63*(B54^2)*B59*0.3)</f>
        <v>0.9418465368829977</v>
      </c>
      <c r="C151" s="13" t="s">
        <v>218</v>
      </c>
      <c r="D151" s="22">
        <f>B151</f>
        <v>0.9418465368829977</v>
      </c>
      <c r="E151" s="13" t="s">
        <v>218</v>
      </c>
      <c r="F151" s="174" t="s">
        <v>219</v>
      </c>
      <c r="G151" s="175"/>
      <c r="H151" s="175"/>
      <c r="I151" s="175"/>
      <c r="J151" s="175"/>
      <c r="K151" s="176"/>
    </row>
    <row r="152" spans="1:11" ht="18.75" customHeight="1">
      <c r="A152" s="1" t="s">
        <v>220</v>
      </c>
      <c r="B152" s="36">
        <f>(52.14*B150*B210)/(B222*B63*(B54^2)*B59*0.2)</f>
        <v>2.393437709894393</v>
      </c>
      <c r="C152" s="2" t="s">
        <v>218</v>
      </c>
      <c r="D152" s="22">
        <f>B152</f>
        <v>2.393437709894393</v>
      </c>
      <c r="E152" s="2" t="s">
        <v>218</v>
      </c>
      <c r="F152" s="148" t="s">
        <v>221</v>
      </c>
      <c r="G152" s="149"/>
      <c r="H152" s="149"/>
      <c r="I152" s="149"/>
      <c r="J152" s="149"/>
      <c r="K152" s="150"/>
    </row>
    <row r="153" spans="1:11" ht="21.75" customHeight="1">
      <c r="A153" s="10" t="s">
        <v>222</v>
      </c>
      <c r="B153" s="36">
        <f>(109.4*B150)/(B63*(B61^3)*(LN(B213))*0.2)</f>
        <v>4.191862326444988</v>
      </c>
      <c r="C153" s="13" t="s">
        <v>218</v>
      </c>
      <c r="D153" s="22">
        <f>B153</f>
        <v>4.191862326444988</v>
      </c>
      <c r="E153" s="13" t="s">
        <v>218</v>
      </c>
      <c r="F153" s="174" t="s">
        <v>223</v>
      </c>
      <c r="G153" s="175"/>
      <c r="H153" s="175"/>
      <c r="I153" s="175"/>
      <c r="J153" s="175"/>
      <c r="K153" s="176"/>
    </row>
    <row r="154" spans="1:11" ht="12.75">
      <c r="A154" s="1" t="s">
        <v>224</v>
      </c>
      <c r="B154" s="23">
        <f>IF(B134="a",B151,IF(B134="b",B152,IF(B134="c",B153)))</f>
        <v>0.9418465368829977</v>
      </c>
      <c r="C154" s="2" t="s">
        <v>14</v>
      </c>
      <c r="D154" s="22">
        <f>B154</f>
        <v>0.9418465368829977</v>
      </c>
      <c r="E154" s="2" t="s">
        <v>14</v>
      </c>
      <c r="F154" s="148" t="s">
        <v>232</v>
      </c>
      <c r="G154" s="149"/>
      <c r="H154" s="149"/>
      <c r="I154" s="149"/>
      <c r="J154" s="149"/>
      <c r="K154" s="150"/>
    </row>
    <row r="155" spans="1:11" ht="12.75" customHeight="1">
      <c r="A155" s="217" t="s">
        <v>226</v>
      </c>
      <c r="B155" s="218"/>
      <c r="C155" s="218"/>
      <c r="D155" s="218"/>
      <c r="E155" s="219"/>
      <c r="F155" s="220" t="str">
        <f>+IF(B154&lt;=1,"OK, os flanges tem rigidez suficiente","Reanalisar, os flanges não tem rigidez suficiente")</f>
        <v>OK, os flanges tem rigidez suficiente</v>
      </c>
      <c r="G155" s="221"/>
      <c r="H155" s="221"/>
      <c r="I155" s="221"/>
      <c r="J155" s="221"/>
      <c r="K155" s="222"/>
    </row>
    <row r="156" spans="1:11" ht="12.75">
      <c r="A156" s="217"/>
      <c r="B156" s="218"/>
      <c r="C156" s="218"/>
      <c r="D156" s="218"/>
      <c r="E156" s="218"/>
      <c r="F156" s="218"/>
      <c r="G156" s="218"/>
      <c r="H156" s="218"/>
      <c r="I156" s="218"/>
      <c r="J156" s="218"/>
      <c r="K156" s="219"/>
    </row>
    <row r="157" spans="1:11" ht="12.75">
      <c r="A157" s="217"/>
      <c r="B157" s="218"/>
      <c r="C157" s="218"/>
      <c r="D157" s="218"/>
      <c r="E157" s="218"/>
      <c r="F157" s="218"/>
      <c r="G157" s="218"/>
      <c r="H157" s="218"/>
      <c r="I157" s="218"/>
      <c r="J157" s="218"/>
      <c r="K157" s="219"/>
    </row>
    <row r="158" spans="1:11" ht="12.75">
      <c r="A158" s="223" t="s">
        <v>233</v>
      </c>
      <c r="B158" s="224"/>
      <c r="C158" s="224"/>
      <c r="D158" s="224"/>
      <c r="E158" s="224"/>
      <c r="F158" s="224"/>
      <c r="G158" s="224"/>
      <c r="H158" s="224"/>
      <c r="I158" s="224"/>
      <c r="J158" s="224"/>
      <c r="K158" s="225"/>
    </row>
    <row r="159" spans="1:11" ht="12.75">
      <c r="A159" s="1" t="s">
        <v>108</v>
      </c>
      <c r="B159" s="36">
        <f>(B56*B54)^0.5</f>
        <v>7.0710678118654755</v>
      </c>
      <c r="C159" s="2" t="s">
        <v>47</v>
      </c>
      <c r="D159" s="24">
        <f>B159*25.4</f>
        <v>179.60512242138307</v>
      </c>
      <c r="E159" s="7" t="s">
        <v>2</v>
      </c>
      <c r="F159" s="148" t="s">
        <v>234</v>
      </c>
      <c r="G159" s="149"/>
      <c r="H159" s="149"/>
      <c r="I159" s="149"/>
      <c r="J159" s="149"/>
      <c r="K159" s="150"/>
    </row>
    <row r="160" spans="1:11" ht="12.75">
      <c r="A160" s="1" t="s">
        <v>235</v>
      </c>
      <c r="B160" s="36">
        <f>(B53/B54)-1</f>
        <v>0.6929133858267718</v>
      </c>
      <c r="C160" s="2" t="s">
        <v>218</v>
      </c>
      <c r="D160" s="22">
        <f aca="true" t="shared" si="1" ref="D160:D221">B160</f>
        <v>0.6929133858267718</v>
      </c>
      <c r="E160" s="2" t="s">
        <v>218</v>
      </c>
      <c r="F160" s="148" t="s">
        <v>236</v>
      </c>
      <c r="G160" s="149"/>
      <c r="H160" s="149"/>
      <c r="I160" s="149"/>
      <c r="J160" s="149"/>
      <c r="K160" s="150"/>
    </row>
    <row r="161" spans="1:11" ht="12.75">
      <c r="A161" s="1" t="s">
        <v>237</v>
      </c>
      <c r="B161" s="36">
        <f>B53/B54</f>
        <v>1.6929133858267718</v>
      </c>
      <c r="C161" s="2" t="s">
        <v>218</v>
      </c>
      <c r="D161" s="22">
        <f t="shared" si="1"/>
        <v>1.6929133858267718</v>
      </c>
      <c r="E161" s="2" t="s">
        <v>218</v>
      </c>
      <c r="F161" s="148" t="s">
        <v>237</v>
      </c>
      <c r="G161" s="149"/>
      <c r="H161" s="149"/>
      <c r="I161" s="149"/>
      <c r="J161" s="149"/>
      <c r="K161" s="150"/>
    </row>
    <row r="162" spans="1:11" ht="12.75">
      <c r="A162" s="1" t="s">
        <v>238</v>
      </c>
      <c r="B162" s="36">
        <f>B58/B159</f>
        <v>0.5233703734766573</v>
      </c>
      <c r="C162" s="2" t="s">
        <v>218</v>
      </c>
      <c r="D162" s="22">
        <f t="shared" si="1"/>
        <v>0.5233703734766573</v>
      </c>
      <c r="E162" s="2" t="s">
        <v>218</v>
      </c>
      <c r="F162" s="148" t="s">
        <v>238</v>
      </c>
      <c r="G162" s="149"/>
      <c r="H162" s="149"/>
      <c r="I162" s="149"/>
      <c r="J162" s="149"/>
      <c r="K162" s="150"/>
    </row>
    <row r="163" spans="1:11" ht="12.75">
      <c r="A163" s="1" t="s">
        <v>239</v>
      </c>
      <c r="B163" s="36">
        <f>43.68*((B162)^4)</f>
        <v>3.2773224197226507</v>
      </c>
      <c r="C163" s="2" t="s">
        <v>218</v>
      </c>
      <c r="D163" s="22">
        <f t="shared" si="1"/>
        <v>3.2773224197226507</v>
      </c>
      <c r="E163" s="2" t="s">
        <v>218</v>
      </c>
      <c r="F163" s="148" t="s">
        <v>240</v>
      </c>
      <c r="G163" s="149"/>
      <c r="H163" s="149"/>
      <c r="I163" s="149"/>
      <c r="J163" s="149"/>
      <c r="K163" s="150"/>
    </row>
    <row r="164" spans="1:11" ht="12.75">
      <c r="A164" s="1" t="s">
        <v>241</v>
      </c>
      <c r="B164" s="36">
        <f>0.333333333333333+(B160/12)</f>
        <v>0.3910761154855643</v>
      </c>
      <c r="C164" s="2" t="s">
        <v>218</v>
      </c>
      <c r="D164" s="22">
        <f t="shared" si="1"/>
        <v>0.3910761154855643</v>
      </c>
      <c r="E164" s="2" t="s">
        <v>218</v>
      </c>
      <c r="F164" s="148" t="s">
        <v>242</v>
      </c>
      <c r="G164" s="149"/>
      <c r="H164" s="149"/>
      <c r="I164" s="149"/>
      <c r="J164" s="149"/>
      <c r="K164" s="150"/>
    </row>
    <row r="165" spans="1:11" ht="12.75">
      <c r="A165" s="1" t="s">
        <v>243</v>
      </c>
      <c r="B165" s="36">
        <f>(0.119047619047619)+(17*B160/336)</f>
        <v>0.1541057367829021</v>
      </c>
      <c r="C165" s="2" t="s">
        <v>218</v>
      </c>
      <c r="D165" s="22">
        <f t="shared" si="1"/>
        <v>0.1541057367829021</v>
      </c>
      <c r="E165" s="2" t="s">
        <v>218</v>
      </c>
      <c r="F165" s="148" t="s">
        <v>244</v>
      </c>
      <c r="G165" s="149"/>
      <c r="H165" s="149"/>
      <c r="I165" s="149"/>
      <c r="J165" s="149"/>
      <c r="K165" s="150"/>
    </row>
    <row r="166" spans="1:11" ht="12.75">
      <c r="A166" s="1" t="s">
        <v>245</v>
      </c>
      <c r="B166" s="36">
        <f>(0.00476190476190476)+(B160/360)</f>
        <v>0.006686664166979126</v>
      </c>
      <c r="C166" s="2" t="s">
        <v>218</v>
      </c>
      <c r="D166" s="22">
        <f t="shared" si="1"/>
        <v>0.006686664166979126</v>
      </c>
      <c r="E166" s="2" t="s">
        <v>218</v>
      </c>
      <c r="F166" s="148" t="s">
        <v>246</v>
      </c>
      <c r="G166" s="149"/>
      <c r="H166" s="149"/>
      <c r="I166" s="149"/>
      <c r="J166" s="149"/>
      <c r="K166" s="150"/>
    </row>
    <row r="167" spans="1:11" ht="12.75">
      <c r="A167" s="1" t="s">
        <v>247</v>
      </c>
      <c r="B167" s="36">
        <f>(0.0305555555555556)+(59*B160/5040)+((1+(3*B160))/B163)</f>
        <v>0.9780742049042874</v>
      </c>
      <c r="C167" s="2" t="s">
        <v>218</v>
      </c>
      <c r="D167" s="22">
        <f t="shared" si="1"/>
        <v>0.9780742049042874</v>
      </c>
      <c r="E167" s="2" t="s">
        <v>218</v>
      </c>
      <c r="F167" s="148" t="s">
        <v>248</v>
      </c>
      <c r="G167" s="149"/>
      <c r="H167" s="149"/>
      <c r="I167" s="149"/>
      <c r="J167" s="149"/>
      <c r="K167" s="150"/>
    </row>
    <row r="168" spans="1:11" ht="12.75">
      <c r="A168" s="1" t="s">
        <v>249</v>
      </c>
      <c r="B168" s="36">
        <f>(0.0111111111111111)+(5*B160/1008)-(((1+B160)^3)/B163)</f>
        <v>-1.4658721740367064</v>
      </c>
      <c r="C168" s="2" t="s">
        <v>218</v>
      </c>
      <c r="D168" s="22">
        <f t="shared" si="1"/>
        <v>-1.4658721740367064</v>
      </c>
      <c r="E168" s="2" t="s">
        <v>218</v>
      </c>
      <c r="F168" s="148" t="s">
        <v>250</v>
      </c>
      <c r="G168" s="149"/>
      <c r="H168" s="149"/>
      <c r="I168" s="149"/>
      <c r="J168" s="149"/>
      <c r="K168" s="150"/>
    </row>
    <row r="169" spans="1:11" ht="12.75">
      <c r="A169" s="1" t="s">
        <v>251</v>
      </c>
      <c r="B169" s="36">
        <f>(0.00833333333333333)+(17*B160/5040)+(1/B163)</f>
        <v>0.31579767605992304</v>
      </c>
      <c r="C169" s="2" t="s">
        <v>218</v>
      </c>
      <c r="D169" s="22">
        <f t="shared" si="1"/>
        <v>0.31579767605992304</v>
      </c>
      <c r="E169" s="2" t="s">
        <v>218</v>
      </c>
      <c r="F169" s="148" t="s">
        <v>252</v>
      </c>
      <c r="G169" s="149"/>
      <c r="H169" s="149"/>
      <c r="I169" s="149"/>
      <c r="J169" s="149"/>
      <c r="K169" s="150"/>
    </row>
    <row r="170" spans="1:11" ht="12.75">
      <c r="A170" s="1" t="s">
        <v>253</v>
      </c>
      <c r="B170" s="36">
        <f>(0.0775613275613276)+(51*B160/1232)+((8.57142857142857)+(225*B160/14)+(75*(B160^2)/7)+(5*(B160^3)/2))/B163</f>
        <v>7.942976447396807</v>
      </c>
      <c r="C170" s="2" t="s">
        <v>218</v>
      </c>
      <c r="D170" s="22">
        <f t="shared" si="1"/>
        <v>7.942976447396807</v>
      </c>
      <c r="E170" s="2" t="s">
        <v>218</v>
      </c>
      <c r="F170" s="148" t="s">
        <v>254</v>
      </c>
      <c r="G170" s="149"/>
      <c r="H170" s="149"/>
      <c r="I170" s="149"/>
      <c r="J170" s="149"/>
      <c r="K170" s="150"/>
    </row>
    <row r="171" spans="1:11" ht="12.75">
      <c r="A171" s="1" t="s">
        <v>255</v>
      </c>
      <c r="B171" s="36">
        <f>(0.00447330447330447)+(128*B160/45045)+((0.857142857142857+15*B160/7)+((12*(B160^2))/7)+((5*(B160^3))/11))/B163</f>
        <v>1.0183223448434218</v>
      </c>
      <c r="C171" s="2" t="s">
        <v>218</v>
      </c>
      <c r="D171" s="22">
        <f t="shared" si="1"/>
        <v>1.0183223448434218</v>
      </c>
      <c r="E171" s="2" t="s">
        <v>218</v>
      </c>
      <c r="F171" s="148" t="s">
        <v>256</v>
      </c>
      <c r="G171" s="149"/>
      <c r="H171" s="149"/>
      <c r="I171" s="149"/>
      <c r="J171" s="149"/>
      <c r="K171" s="150"/>
    </row>
    <row r="172" spans="1:11" ht="12.75">
      <c r="A172" s="1" t="s">
        <v>257</v>
      </c>
      <c r="B172" s="36">
        <f>(533/30240)+(653*B160/73920)+((0.5)+(33*B160/14)+(39*(B160^2)/28)+(25*(B160^3)/84))/B163</f>
        <v>0.9089392361666103</v>
      </c>
      <c r="C172" s="2" t="s">
        <v>218</v>
      </c>
      <c r="D172" s="22">
        <f t="shared" si="1"/>
        <v>0.9089392361666103</v>
      </c>
      <c r="E172" s="2" t="s">
        <v>218</v>
      </c>
      <c r="F172" s="148" t="s">
        <v>258</v>
      </c>
      <c r="G172" s="149"/>
      <c r="H172" s="149"/>
      <c r="I172" s="149"/>
      <c r="J172" s="149"/>
      <c r="K172" s="150"/>
    </row>
    <row r="173" spans="1:11" ht="12.75">
      <c r="A173" s="1" t="s">
        <v>259</v>
      </c>
      <c r="B173" s="36">
        <f>(0.00767195767195767)+(3*B160/704)-((0.5+33*B160/14)+(81*(B160^2)/28)+(13*(B160^3)/12))/B163</f>
        <v>-1.174077796090919</v>
      </c>
      <c r="C173" s="2" t="s">
        <v>218</v>
      </c>
      <c r="D173" s="22">
        <f t="shared" si="1"/>
        <v>-1.174077796090919</v>
      </c>
      <c r="E173" s="2" t="s">
        <v>218</v>
      </c>
      <c r="F173" s="148" t="s">
        <v>260</v>
      </c>
      <c r="G173" s="149"/>
      <c r="H173" s="149"/>
      <c r="I173" s="149"/>
      <c r="J173" s="149"/>
      <c r="K173" s="150"/>
    </row>
    <row r="174" spans="1:11" ht="12.75">
      <c r="A174" s="1" t="s">
        <v>261</v>
      </c>
      <c r="B174" s="36">
        <f>(0.00512566137566138)+(1763*B160/665280)+((0.5)+(6*B160/7)+(15*(B160^2)/28)+(5*(B160^3)/42))/B163</f>
        <v>0.43131543636072794</v>
      </c>
      <c r="C174" s="2" t="s">
        <v>218</v>
      </c>
      <c r="D174" s="22">
        <f t="shared" si="1"/>
        <v>0.43131543636072794</v>
      </c>
      <c r="E174" s="2" t="s">
        <v>218</v>
      </c>
      <c r="F174" s="148" t="s">
        <v>262</v>
      </c>
      <c r="G174" s="149"/>
      <c r="H174" s="149"/>
      <c r="I174" s="149"/>
      <c r="J174" s="149"/>
      <c r="K174" s="150"/>
    </row>
    <row r="175" spans="1:11" ht="12.75">
      <c r="A175" s="1" t="s">
        <v>263</v>
      </c>
      <c r="B175" s="36">
        <f>(0.000341880341880342)+(71*B160/300300)+((0.228571428571429)+(18*B160/35)+(156*(B160^2)/385)+(6*(B160^3)/55))/B163</f>
        <v>0.24941800481798634</v>
      </c>
      <c r="C175" s="2" t="s">
        <v>218</v>
      </c>
      <c r="D175" s="22">
        <f t="shared" si="1"/>
        <v>0.24941800481798634</v>
      </c>
      <c r="E175" s="2" t="s">
        <v>218</v>
      </c>
      <c r="F175" s="148" t="s">
        <v>264</v>
      </c>
      <c r="G175" s="149"/>
      <c r="H175" s="149"/>
      <c r="I175" s="149"/>
      <c r="J175" s="149"/>
      <c r="K175" s="150"/>
    </row>
    <row r="176" spans="1:11" ht="12.75">
      <c r="A176" s="1" t="s">
        <v>265</v>
      </c>
      <c r="B176" s="36">
        <f>(761/831600)+(937*B160/1663200)+((0.0285714285714286)+(6*B160/35)+(11*(B160^2)/70)+(3*(B160^3)/70))/B163</f>
        <v>0.0736399671158135</v>
      </c>
      <c r="C176" s="2" t="s">
        <v>218</v>
      </c>
      <c r="D176" s="22">
        <f t="shared" si="1"/>
        <v>0.0736399671158135</v>
      </c>
      <c r="E176" s="2" t="s">
        <v>218</v>
      </c>
      <c r="F176" s="148" t="s">
        <v>266</v>
      </c>
      <c r="G176" s="149"/>
      <c r="H176" s="149"/>
      <c r="I176" s="149"/>
      <c r="J176" s="149"/>
      <c r="K176" s="150"/>
    </row>
    <row r="177" spans="1:11" ht="12.75">
      <c r="A177" s="1" t="s">
        <v>267</v>
      </c>
      <c r="B177" s="36">
        <f>(197/415800)+(103*B160/332640)-((1/35)+(6*B160/35)+(17*(B160^2)/70)+((B160^3)/10))/B163</f>
        <v>-0.09000401848285335</v>
      </c>
      <c r="C177" s="2" t="s">
        <v>218</v>
      </c>
      <c r="D177" s="22">
        <f t="shared" si="1"/>
        <v>-0.09000401848285335</v>
      </c>
      <c r="E177" s="2" t="s">
        <v>218</v>
      </c>
      <c r="F177" s="148" t="s">
        <v>268</v>
      </c>
      <c r="G177" s="149"/>
      <c r="H177" s="149"/>
      <c r="I177" s="149"/>
      <c r="J177" s="149"/>
      <c r="K177" s="150"/>
    </row>
    <row r="178" spans="1:11" ht="12.75">
      <c r="A178" s="1" t="s">
        <v>269</v>
      </c>
      <c r="B178" s="36">
        <f>(233/831600)+(97*B160/554400)+((0.0285714285714286)+(3*B160/35)+((B160^2)/14)+(2*(B160^3)/105))/B163</f>
        <v>0.039639497962354726</v>
      </c>
      <c r="C178" s="2" t="s">
        <v>218</v>
      </c>
      <c r="D178" s="22">
        <f t="shared" si="1"/>
        <v>0.039639497962354726</v>
      </c>
      <c r="E178" s="2" t="s">
        <v>218</v>
      </c>
      <c r="F178" s="148" t="s">
        <v>270</v>
      </c>
      <c r="G178" s="149"/>
      <c r="H178" s="149"/>
      <c r="I178" s="149"/>
      <c r="J178" s="149"/>
      <c r="K178" s="150"/>
    </row>
    <row r="179" spans="1:11" ht="12.75">
      <c r="A179" s="1" t="s">
        <v>271</v>
      </c>
      <c r="B179" s="36">
        <f>(B164*B170*B175)+(B165*B171*B166)+(B166*B171*B165)-(((B166^2)*B170)+((B171^2)*B164)+((B165^2)*B175))</f>
        <v>0.3650511732895223</v>
      </c>
      <c r="C179" s="2" t="s">
        <v>218</v>
      </c>
      <c r="D179" s="22">
        <f t="shared" si="1"/>
        <v>0.3650511732895223</v>
      </c>
      <c r="E179" s="2" t="s">
        <v>218</v>
      </c>
      <c r="F179" s="148" t="s">
        <v>272</v>
      </c>
      <c r="G179" s="149"/>
      <c r="H179" s="149"/>
      <c r="I179" s="149"/>
      <c r="J179" s="149"/>
      <c r="K179" s="150"/>
    </row>
    <row r="180" spans="1:11" ht="12.75">
      <c r="A180" s="1" t="s">
        <v>273</v>
      </c>
      <c r="B180" s="36">
        <f>((B167*B170*B175)+(B165*B171*B176)+(B166*B171*B172)-((B176*B170*B166)+((B171^2)*B167)+(B175*B165*B172)))/B179</f>
        <v>2.471810891175067</v>
      </c>
      <c r="C180" s="2" t="s">
        <v>218</v>
      </c>
      <c r="D180" s="22">
        <f t="shared" si="1"/>
        <v>2.471810891175067</v>
      </c>
      <c r="E180" s="2" t="s">
        <v>218</v>
      </c>
      <c r="F180" s="148" t="s">
        <v>274</v>
      </c>
      <c r="G180" s="149"/>
      <c r="H180" s="149"/>
      <c r="I180" s="149"/>
      <c r="J180" s="149"/>
      <c r="K180" s="150"/>
    </row>
    <row r="181" spans="1:11" ht="12.75">
      <c r="A181" s="1" t="s">
        <v>275</v>
      </c>
      <c r="B181" s="36">
        <f>((B168*B170*B175)+(B165*B171*B177)+(B166*B171*B173)-((B177*B170*B166)+((B171^2)*B168)+(B175*B165*B173)))/B179</f>
        <v>-3.7150974509155383</v>
      </c>
      <c r="C181" s="2" t="s">
        <v>218</v>
      </c>
      <c r="D181" s="22">
        <f t="shared" si="1"/>
        <v>-3.7150974509155383</v>
      </c>
      <c r="E181" s="2" t="s">
        <v>218</v>
      </c>
      <c r="F181" s="148" t="s">
        <v>276</v>
      </c>
      <c r="G181" s="149"/>
      <c r="H181" s="149"/>
      <c r="I181" s="149"/>
      <c r="J181" s="149"/>
      <c r="K181" s="150"/>
    </row>
    <row r="182" spans="1:11" ht="12.75">
      <c r="A182" s="1" t="s">
        <v>277</v>
      </c>
      <c r="B182" s="36">
        <f>((B169*B170*B175)+(B165*B171*B178)+(B166*B171*B174)-((B178*B170*B166)+((B171^2)*B169)+(B175*B165*B174)))/B179</f>
        <v>0.7906598965737154</v>
      </c>
      <c r="C182" s="2" t="s">
        <v>218</v>
      </c>
      <c r="D182" s="22">
        <f t="shared" si="1"/>
        <v>0.7906598965737154</v>
      </c>
      <c r="E182" s="2" t="s">
        <v>218</v>
      </c>
      <c r="F182" s="148" t="s">
        <v>278</v>
      </c>
      <c r="G182" s="149"/>
      <c r="H182" s="149"/>
      <c r="I182" s="149"/>
      <c r="J182" s="149"/>
      <c r="K182" s="150"/>
    </row>
    <row r="183" spans="1:11" ht="12.75">
      <c r="A183" s="1" t="s">
        <v>279</v>
      </c>
      <c r="B183" s="36">
        <f>((B164*B172*B175)+(B167*B171*B166)+(B166*B176*B165)-(((B166^2)*B172)+(B176*B171*B164)+(B175*B167*B165)))/B179</f>
        <v>0.0778900923879377</v>
      </c>
      <c r="C183" s="2" t="s">
        <v>218</v>
      </c>
      <c r="D183" s="22">
        <f t="shared" si="1"/>
        <v>0.0778900923879377</v>
      </c>
      <c r="E183" s="2" t="s">
        <v>218</v>
      </c>
      <c r="F183" s="148" t="s">
        <v>280</v>
      </c>
      <c r="G183" s="149"/>
      <c r="H183" s="149"/>
      <c r="I183" s="149"/>
      <c r="J183" s="149"/>
      <c r="K183" s="150"/>
    </row>
    <row r="184" spans="1:11" ht="12.75">
      <c r="A184" s="1" t="s">
        <v>281</v>
      </c>
      <c r="B184" s="36">
        <f>((B164*B173*B175)+(B168*B171*B166)+(B166*B177*B165)-(((B166^2)*B173)+(B177*B171*B164)+(B175*B168*B165)))/B179</f>
        <v>-0.088634594052311</v>
      </c>
      <c r="C184" s="2" t="s">
        <v>218</v>
      </c>
      <c r="D184" s="22">
        <f t="shared" si="1"/>
        <v>-0.088634594052311</v>
      </c>
      <c r="E184" s="2" t="s">
        <v>218</v>
      </c>
      <c r="F184" s="148" t="s">
        <v>282</v>
      </c>
      <c r="G184" s="149"/>
      <c r="H184" s="149"/>
      <c r="I184" s="149"/>
      <c r="J184" s="149"/>
      <c r="K184" s="150"/>
    </row>
    <row r="185" spans="1:11" ht="12.75">
      <c r="A185" s="1" t="s">
        <v>283</v>
      </c>
      <c r="B185" s="36">
        <f>((B164*B174*B175)+(B169*B171*B166)+(B166*B178*B165)-(((B166^2)*B174)+(B178*B171*B164)+(B175*B169*B165)))/B179</f>
        <v>0.044702437247038436</v>
      </c>
      <c r="C185" s="2" t="s">
        <v>218</v>
      </c>
      <c r="D185" s="22">
        <f t="shared" si="1"/>
        <v>0.044702437247038436</v>
      </c>
      <c r="E185" s="2" t="s">
        <v>218</v>
      </c>
      <c r="F185" s="148" t="s">
        <v>284</v>
      </c>
      <c r="G185" s="149"/>
      <c r="H185" s="149"/>
      <c r="I185" s="149"/>
      <c r="J185" s="149"/>
      <c r="K185" s="150"/>
    </row>
    <row r="186" spans="1:11" ht="12.75">
      <c r="A186" s="1" t="s">
        <v>285</v>
      </c>
      <c r="B186" s="36">
        <f>((B164*B170*B176)+(B165*B172*B166)+(B167*B171*B165)-((B166*B170*B167)+(B171*B172*B164)+((B165^2)*B176)))/B179</f>
        <v>-0.08902895255904071</v>
      </c>
      <c r="C186" s="2" t="s">
        <v>218</v>
      </c>
      <c r="D186" s="22">
        <f t="shared" si="1"/>
        <v>-0.08902895255904071</v>
      </c>
      <c r="E186" s="2" t="s">
        <v>218</v>
      </c>
      <c r="F186" s="148" t="s">
        <v>286</v>
      </c>
      <c r="G186" s="149"/>
      <c r="H186" s="149"/>
      <c r="I186" s="149"/>
      <c r="J186" s="149"/>
      <c r="K186" s="150"/>
    </row>
    <row r="187" spans="1:11" ht="12.75">
      <c r="A187" s="1" t="s">
        <v>287</v>
      </c>
      <c r="B187" s="36">
        <f>((B164*B170*B177)+(B165*B173*B166)+(B168*B171*B165)-((B166*B170*B168)+(B171*B173*B164)+((B165^2)*B177)))/B179</f>
        <v>0.10061895165478246</v>
      </c>
      <c r="C187" s="2" t="s">
        <v>218</v>
      </c>
      <c r="D187" s="22">
        <f t="shared" si="1"/>
        <v>0.10061895165478246</v>
      </c>
      <c r="E187" s="2" t="s">
        <v>218</v>
      </c>
      <c r="F187" s="148" t="s">
        <v>288</v>
      </c>
      <c r="G187" s="149"/>
      <c r="H187" s="149"/>
      <c r="I187" s="149"/>
      <c r="J187" s="149"/>
      <c r="K187" s="150"/>
    </row>
    <row r="188" spans="1:11" ht="12.75">
      <c r="A188" s="1" t="s">
        <v>289</v>
      </c>
      <c r="B188" s="36">
        <f>((B164*B170*B178)+(B165*B174*B166)+(B169*B171*B165)-((B166*B170*B169)+(B171*B174*B164)+((B165^2)*B178)))/B179</f>
        <v>-0.044779726155306135</v>
      </c>
      <c r="C188" s="2" t="s">
        <v>218</v>
      </c>
      <c r="D188" s="22">
        <f t="shared" si="1"/>
        <v>-0.044779726155306135</v>
      </c>
      <c r="E188" s="2" t="s">
        <v>218</v>
      </c>
      <c r="F188" s="148" t="s">
        <v>290</v>
      </c>
      <c r="G188" s="149"/>
      <c r="H188" s="149"/>
      <c r="I188" s="149"/>
      <c r="J188" s="149"/>
      <c r="K188" s="150"/>
    </row>
    <row r="189" spans="1:11" ht="12.75">
      <c r="A189" s="1" t="s">
        <v>291</v>
      </c>
      <c r="B189" s="36">
        <f>-(1)*((B163/4)^0.25)</f>
        <v>-0.951403608757033</v>
      </c>
      <c r="C189" s="2" t="s">
        <v>218</v>
      </c>
      <c r="D189" s="22">
        <f t="shared" si="1"/>
        <v>-0.951403608757033</v>
      </c>
      <c r="E189" s="2" t="s">
        <v>218</v>
      </c>
      <c r="F189" s="148" t="s">
        <v>292</v>
      </c>
      <c r="G189" s="149"/>
      <c r="H189" s="149"/>
      <c r="I189" s="149"/>
      <c r="J189" s="149"/>
      <c r="K189" s="150"/>
    </row>
    <row r="190" spans="1:11" ht="12.75">
      <c r="A190" s="1" t="s">
        <v>293</v>
      </c>
      <c r="B190" s="36">
        <f>B183-B180-(0.416666666666667)+(B180*B189)</f>
        <v>-5.162277267482693</v>
      </c>
      <c r="C190" s="2" t="s">
        <v>218</v>
      </c>
      <c r="D190" s="22">
        <f t="shared" si="1"/>
        <v>-5.162277267482693</v>
      </c>
      <c r="E190" s="2" t="s">
        <v>218</v>
      </c>
      <c r="F190" s="148" t="s">
        <v>294</v>
      </c>
      <c r="G190" s="149"/>
      <c r="H190" s="149"/>
      <c r="I190" s="149"/>
      <c r="J190" s="149"/>
      <c r="K190" s="150"/>
    </row>
    <row r="191" spans="1:11" ht="12.75">
      <c r="A191" s="1" t="s">
        <v>295</v>
      </c>
      <c r="B191" s="36">
        <f>B185-B182-(0.0833333333333333)+(B182*B189)</f>
        <v>-1.5815274715597054</v>
      </c>
      <c r="C191" s="2" t="s">
        <v>218</v>
      </c>
      <c r="D191" s="22">
        <f t="shared" si="1"/>
        <v>-1.5815274715597054</v>
      </c>
      <c r="E191" s="2" t="s">
        <v>218</v>
      </c>
      <c r="F191" s="148" t="s">
        <v>296</v>
      </c>
      <c r="G191" s="149"/>
      <c r="H191" s="149"/>
      <c r="I191" s="149"/>
      <c r="J191" s="149"/>
      <c r="K191" s="150"/>
    </row>
    <row r="192" spans="1:11" ht="12.75">
      <c r="A192" s="1" t="s">
        <v>297</v>
      </c>
      <c r="B192" s="36">
        <f>(-1)*((B163/4)^0.5)</f>
        <v>-0.9051688267559056</v>
      </c>
      <c r="C192" s="2" t="s">
        <v>218</v>
      </c>
      <c r="D192" s="22">
        <f t="shared" si="1"/>
        <v>-0.9051688267559056</v>
      </c>
      <c r="E192" s="2" t="s">
        <v>218</v>
      </c>
      <c r="F192" s="148" t="s">
        <v>298</v>
      </c>
      <c r="G192" s="149"/>
      <c r="H192" s="149"/>
      <c r="I192" s="149"/>
      <c r="J192" s="149"/>
      <c r="K192" s="150"/>
    </row>
    <row r="193" spans="1:11" ht="12.75">
      <c r="A193" s="1" t="s">
        <v>299</v>
      </c>
      <c r="B193" s="36">
        <f>(-1)*((B163/4)^(3/4))</f>
        <v>-0.8611808883099383</v>
      </c>
      <c r="C193" s="2" t="s">
        <v>218</v>
      </c>
      <c r="D193" s="22">
        <f t="shared" si="1"/>
        <v>-0.8611808883099383</v>
      </c>
      <c r="E193" s="2" t="s">
        <v>218</v>
      </c>
      <c r="F193" s="148" t="s">
        <v>300</v>
      </c>
      <c r="G193" s="149"/>
      <c r="H193" s="149"/>
      <c r="I193" s="149"/>
      <c r="J193" s="149"/>
      <c r="K193" s="150"/>
    </row>
    <row r="194" spans="1:11" ht="12.75">
      <c r="A194" s="1" t="s">
        <v>301</v>
      </c>
      <c r="B194" s="36">
        <f>(3*B160/2)-(B180*B193)</f>
        <v>3.1680463777364825</v>
      </c>
      <c r="C194" s="2" t="s">
        <v>218</v>
      </c>
      <c r="D194" s="22">
        <f t="shared" si="1"/>
        <v>3.1680463777364825</v>
      </c>
      <c r="E194" s="2" t="s">
        <v>218</v>
      </c>
      <c r="F194" s="148" t="s">
        <v>302</v>
      </c>
      <c r="G194" s="149"/>
      <c r="H194" s="149"/>
      <c r="I194" s="149"/>
      <c r="J194" s="149"/>
      <c r="K194" s="150"/>
    </row>
    <row r="195" spans="1:11" ht="12.75">
      <c r="A195" s="1" t="s">
        <v>303</v>
      </c>
      <c r="B195" s="36">
        <f>0.5-(B182*B193)</f>
        <v>1.1809011920823962</v>
      </c>
      <c r="C195" s="2" t="s">
        <v>218</v>
      </c>
      <c r="D195" s="22">
        <f t="shared" si="1"/>
        <v>1.1809011920823962</v>
      </c>
      <c r="E195" s="2" t="s">
        <v>218</v>
      </c>
      <c r="F195" s="148" t="s">
        <v>304</v>
      </c>
      <c r="G195" s="149"/>
      <c r="H195" s="149"/>
      <c r="I195" s="149"/>
      <c r="J195" s="149"/>
      <c r="K195" s="150"/>
    </row>
    <row r="196" spans="1:11" ht="12.75">
      <c r="A196" s="1" t="s">
        <v>305</v>
      </c>
      <c r="B196" s="36">
        <f>(0.5*B189*B195)+(B191*B194*B192)-((0.5*B193*B191)+(B195*B190*B192))</f>
        <v>-2.225567990511135</v>
      </c>
      <c r="C196" s="2" t="s">
        <v>218</v>
      </c>
      <c r="D196" s="22">
        <f t="shared" si="1"/>
        <v>-2.225567990511135</v>
      </c>
      <c r="E196" s="2" t="s">
        <v>218</v>
      </c>
      <c r="F196" s="148" t="s">
        <v>306</v>
      </c>
      <c r="G196" s="149"/>
      <c r="H196" s="149"/>
      <c r="I196" s="149"/>
      <c r="J196" s="149"/>
      <c r="K196" s="150"/>
    </row>
    <row r="197" spans="1:11" ht="12.75">
      <c r="A197" s="1" t="s">
        <v>307</v>
      </c>
      <c r="B197" s="36">
        <f>0.0833333333333333+B181-B184-(B181*B189)</f>
        <v>-7.077686645214991</v>
      </c>
      <c r="C197" s="2" t="s">
        <v>218</v>
      </c>
      <c r="D197" s="22">
        <f t="shared" si="1"/>
        <v>-7.077686645214991</v>
      </c>
      <c r="E197" s="2" t="s">
        <v>218</v>
      </c>
      <c r="F197" s="148" t="s">
        <v>308</v>
      </c>
      <c r="G197" s="149"/>
      <c r="H197" s="149"/>
      <c r="I197" s="149"/>
      <c r="J197" s="149"/>
      <c r="K197" s="150"/>
    </row>
    <row r="198" spans="1:11" ht="14.25" customHeight="1">
      <c r="A198" s="1" t="s">
        <v>309</v>
      </c>
      <c r="B198" s="36">
        <f>(-1)*B181*((B163/4)^0.75)</f>
        <v>3.199370922937431</v>
      </c>
      <c r="C198" s="2" t="s">
        <v>218</v>
      </c>
      <c r="D198" s="22">
        <f t="shared" si="1"/>
        <v>3.199370922937431</v>
      </c>
      <c r="E198" s="2" t="s">
        <v>218</v>
      </c>
      <c r="F198" s="148" t="s">
        <v>310</v>
      </c>
      <c r="G198" s="149"/>
      <c r="H198" s="149"/>
      <c r="I198" s="149"/>
      <c r="J198" s="149"/>
      <c r="K198" s="150"/>
    </row>
    <row r="199" spans="1:11" ht="12.75">
      <c r="A199" s="1" t="s">
        <v>311</v>
      </c>
      <c r="B199" s="36">
        <f>((B191*B198*B192)-(B195*B197*B192))/B196</f>
        <v>1.3414048183451344</v>
      </c>
      <c r="C199" s="2" t="s">
        <v>218</v>
      </c>
      <c r="D199" s="22">
        <f t="shared" si="1"/>
        <v>1.3414048183451344</v>
      </c>
      <c r="E199" s="2" t="s">
        <v>218</v>
      </c>
      <c r="F199" s="148" t="s">
        <v>312</v>
      </c>
      <c r="G199" s="149"/>
      <c r="H199" s="149"/>
      <c r="I199" s="149"/>
      <c r="J199" s="149"/>
      <c r="K199" s="150"/>
    </row>
    <row r="200" spans="1:11" ht="12.75">
      <c r="A200" s="1" t="s">
        <v>313</v>
      </c>
      <c r="B200" s="36">
        <f>((0.5*B189*B198)+(B197*B194*B192)-((0.5*B193*B197)+(B198*B190*B192)))/B196</f>
        <v>-0.3490157035776461</v>
      </c>
      <c r="C200" s="2" t="s">
        <v>218</v>
      </c>
      <c r="D200" s="22">
        <f t="shared" si="1"/>
        <v>-0.3490157035776461</v>
      </c>
      <c r="E200" s="2" t="s">
        <v>218</v>
      </c>
      <c r="F200" s="148" t="s">
        <v>314</v>
      </c>
      <c r="G200" s="149"/>
      <c r="H200" s="149"/>
      <c r="I200" s="149"/>
      <c r="J200" s="149"/>
      <c r="K200" s="150"/>
    </row>
    <row r="201" spans="1:11" ht="12.75">
      <c r="A201" s="1" t="s">
        <v>315</v>
      </c>
      <c r="B201" s="36">
        <f>(B180*B199)+B181+(B182*B200)</f>
        <v>-0.675351131548627</v>
      </c>
      <c r="C201" s="2" t="s">
        <v>218</v>
      </c>
      <c r="D201" s="22">
        <f t="shared" si="1"/>
        <v>-0.675351131548627</v>
      </c>
      <c r="E201" s="2" t="s">
        <v>218</v>
      </c>
      <c r="F201" s="148" t="s">
        <v>316</v>
      </c>
      <c r="G201" s="149"/>
      <c r="H201" s="149"/>
      <c r="I201" s="149"/>
      <c r="J201" s="149"/>
      <c r="K201" s="150"/>
    </row>
    <row r="202" spans="1:11" ht="12.75">
      <c r="A202" s="1" t="s">
        <v>317</v>
      </c>
      <c r="B202" s="36">
        <f>(B183*B199)+B184+(B185*B200)</f>
        <v>0.0002456985908056101</v>
      </c>
      <c r="C202" s="2" t="s">
        <v>218</v>
      </c>
      <c r="D202" s="22">
        <f t="shared" si="1"/>
        <v>0.0002456985908056101</v>
      </c>
      <c r="E202" s="2" t="s">
        <v>218</v>
      </c>
      <c r="F202" s="148" t="s">
        <v>318</v>
      </c>
      <c r="G202" s="149"/>
      <c r="H202" s="149"/>
      <c r="I202" s="149"/>
      <c r="J202" s="149"/>
      <c r="K202" s="150"/>
    </row>
    <row r="203" spans="1:11" ht="12.75">
      <c r="A203" s="1" t="s">
        <v>319</v>
      </c>
      <c r="B203" s="36">
        <f>(B186*B199)+B187+(B188*B200)</f>
        <v>-0.0031760866500266383</v>
      </c>
      <c r="C203" s="2" t="s">
        <v>218</v>
      </c>
      <c r="D203" s="22">
        <f t="shared" si="1"/>
        <v>-0.0031760866500266383</v>
      </c>
      <c r="E203" s="2" t="s">
        <v>218</v>
      </c>
      <c r="F203" s="148" t="s">
        <v>320</v>
      </c>
      <c r="G203" s="149"/>
      <c r="H203" s="149"/>
      <c r="I203" s="149"/>
      <c r="J203" s="149"/>
      <c r="K203" s="150"/>
    </row>
    <row r="204" spans="1:11" ht="12.75">
      <c r="A204" s="1" t="s">
        <v>321</v>
      </c>
      <c r="B204" s="36">
        <f>0.25+(B200/12)+(B199/4)-(B203/5)-(3*B202/2)-B201</f>
        <v>1.2318843636139039</v>
      </c>
      <c r="C204" s="2" t="s">
        <v>218</v>
      </c>
      <c r="D204" s="22">
        <f t="shared" si="1"/>
        <v>1.2318843636139039</v>
      </c>
      <c r="E204" s="2" t="s">
        <v>218</v>
      </c>
      <c r="F204" s="148" t="s">
        <v>322</v>
      </c>
      <c r="G204" s="149"/>
      <c r="H204" s="149"/>
      <c r="I204" s="149"/>
      <c r="J204" s="149"/>
      <c r="K204" s="150"/>
    </row>
    <row r="205" spans="1:11" ht="12.75">
      <c r="A205" s="1" t="s">
        <v>323</v>
      </c>
      <c r="B205" s="36">
        <f>B201*(0.5+B160/6)+(B202*(0.25+(11*B160/84)))+(B203*((0.0142857142857143)+(B160/105)))</f>
        <v>-0.41565148551521686</v>
      </c>
      <c r="C205" s="2" t="s">
        <v>218</v>
      </c>
      <c r="D205" s="22">
        <f t="shared" si="1"/>
        <v>-0.41565148551521686</v>
      </c>
      <c r="E205" s="2" t="s">
        <v>218</v>
      </c>
      <c r="F205" s="148" t="s">
        <v>324</v>
      </c>
      <c r="G205" s="149"/>
      <c r="H205" s="149"/>
      <c r="I205" s="149"/>
      <c r="J205" s="149"/>
      <c r="K205" s="150"/>
    </row>
    <row r="206" spans="1:11" ht="12.75">
      <c r="A206" s="1" t="s">
        <v>325</v>
      </c>
      <c r="B206" s="36">
        <f>B205-(B199*((7/120)+(B160/36)+(3*B160/B163)))-(1/40)-(B160/72)-(B200*((1/60)+(B160/120)+(1/B163)))</f>
        <v>-1.2908425948035767</v>
      </c>
      <c r="C206" s="2" t="s">
        <v>218</v>
      </c>
      <c r="D206" s="22">
        <f t="shared" si="1"/>
        <v>-1.2908425948035767</v>
      </c>
      <c r="E206" s="2" t="s">
        <v>218</v>
      </c>
      <c r="F206" s="148" t="s">
        <v>326</v>
      </c>
      <c r="G206" s="149"/>
      <c r="H206" s="149"/>
      <c r="I206" s="149"/>
      <c r="J206" s="149"/>
      <c r="K206" s="150"/>
    </row>
    <row r="207" spans="1:11" ht="12.75">
      <c r="A207" s="1" t="s">
        <v>327</v>
      </c>
      <c r="B207" s="36">
        <f>B204/(((2.73/B163)^0.25)*((1+B160)^3))</f>
        <v>0.26576932679943444</v>
      </c>
      <c r="C207" s="2" t="s">
        <v>218</v>
      </c>
      <c r="D207" s="22">
        <f t="shared" si="1"/>
        <v>0.26576932679943444</v>
      </c>
      <c r="E207" s="2" t="s">
        <v>218</v>
      </c>
      <c r="F207" s="148" t="s">
        <v>328</v>
      </c>
      <c r="G207" s="149"/>
      <c r="H207" s="149"/>
      <c r="I207" s="149"/>
      <c r="J207" s="149"/>
      <c r="K207" s="150"/>
    </row>
    <row r="208" spans="1:11" ht="12.75">
      <c r="A208" s="1" t="s">
        <v>329</v>
      </c>
      <c r="B208" s="36">
        <f>-(1)*B206/(((B163/2.73)^0.25)*(((1+B160)^3)/B163))</f>
        <v>0.8330078791289952</v>
      </c>
      <c r="C208" s="2" t="s">
        <v>218</v>
      </c>
      <c r="D208" s="22">
        <f t="shared" si="1"/>
        <v>0.8330078791289952</v>
      </c>
      <c r="E208" s="2" t="s">
        <v>218</v>
      </c>
      <c r="F208" s="148" t="s">
        <v>330</v>
      </c>
      <c r="G208" s="149"/>
      <c r="H208" s="149"/>
      <c r="I208" s="149"/>
      <c r="J208" s="149"/>
      <c r="K208" s="150"/>
    </row>
    <row r="209" spans="1:11" ht="21.75" customHeight="1">
      <c r="A209" s="10" t="s">
        <v>331</v>
      </c>
      <c r="B209" s="36">
        <f>-(1)*((B181*(0.5+(B160/6)))+(B184*(0.25+(11*B160/84)))+(B187*((1/70)+(B160/105)))-((1/40)+(B160/72)))/(((B163/2.73)^0.25)*(((1+B160)^3)/B163))</f>
        <v>1.516060751122078</v>
      </c>
      <c r="C209" s="13" t="s">
        <v>218</v>
      </c>
      <c r="D209" s="22">
        <f t="shared" si="1"/>
        <v>1.516060751122078</v>
      </c>
      <c r="E209" s="13" t="s">
        <v>218</v>
      </c>
      <c r="F209" s="174" t="s">
        <v>332</v>
      </c>
      <c r="G209" s="175"/>
      <c r="H209" s="175"/>
      <c r="I209" s="175"/>
      <c r="J209" s="175"/>
      <c r="K209" s="176"/>
    </row>
    <row r="210" spans="1:11" ht="12.75">
      <c r="A210" s="1" t="s">
        <v>333</v>
      </c>
      <c r="B210" s="36">
        <f>(0.25-(B187/5)-(3*B184/2)-B181)/(((2.73/B163)^0.25)*((1+B160)^3))</f>
        <v>0.8797802461135714</v>
      </c>
      <c r="C210" s="13" t="s">
        <v>218</v>
      </c>
      <c r="D210" s="22">
        <f t="shared" si="1"/>
        <v>0.8797802461135714</v>
      </c>
      <c r="E210" s="13" t="s">
        <v>218</v>
      </c>
      <c r="F210" s="148" t="s">
        <v>334</v>
      </c>
      <c r="G210" s="149"/>
      <c r="H210" s="149"/>
      <c r="I210" s="149"/>
      <c r="J210" s="149"/>
      <c r="K210" s="150"/>
    </row>
    <row r="211" spans="1:11" ht="12.75">
      <c r="A211" s="1" t="s">
        <v>335</v>
      </c>
      <c r="B211" s="36">
        <f>IF((B199/(1+B160))&lt;1,1,(B199/(1+B160)))</f>
        <v>1</v>
      </c>
      <c r="C211" s="13" t="s">
        <v>218</v>
      </c>
      <c r="D211" s="22">
        <f t="shared" si="1"/>
        <v>1</v>
      </c>
      <c r="E211" s="13" t="s">
        <v>218</v>
      </c>
      <c r="F211" s="148" t="s">
        <v>336</v>
      </c>
      <c r="G211" s="149"/>
      <c r="H211" s="149"/>
      <c r="I211" s="149"/>
      <c r="J211" s="149"/>
      <c r="K211" s="150"/>
    </row>
    <row r="212" spans="1:11" ht="12.75">
      <c r="A212" s="1" t="s">
        <v>5</v>
      </c>
      <c r="B212" s="36">
        <f>((B213^2)*(1+8.55246*(LOG(B213,10)))-1)/((1.0472+(1.9448*(B213^2)))*(B213-1))</f>
        <v>1.8205847859775715</v>
      </c>
      <c r="C212" s="2" t="s">
        <v>218</v>
      </c>
      <c r="D212" s="22">
        <f t="shared" si="1"/>
        <v>1.8205847859775715</v>
      </c>
      <c r="E212" s="2" t="s">
        <v>218</v>
      </c>
      <c r="F212" s="148" t="s">
        <v>337</v>
      </c>
      <c r="G212" s="149"/>
      <c r="H212" s="149"/>
      <c r="I212" s="149"/>
      <c r="J212" s="149"/>
      <c r="K212" s="150"/>
    </row>
    <row r="213" spans="1:11" ht="12.75">
      <c r="A213" s="1" t="s">
        <v>338</v>
      </c>
      <c r="B213" s="36">
        <f>+B57/B56</f>
        <v>1.2448818897637794</v>
      </c>
      <c r="C213" s="2" t="s">
        <v>218</v>
      </c>
      <c r="D213" s="22">
        <f t="shared" si="1"/>
        <v>1.2448818897637794</v>
      </c>
      <c r="E213" s="2" t="s">
        <v>218</v>
      </c>
      <c r="F213" s="148" t="s">
        <v>339</v>
      </c>
      <c r="G213" s="149"/>
      <c r="H213" s="149"/>
      <c r="I213" s="149"/>
      <c r="J213" s="149"/>
      <c r="K213" s="150"/>
    </row>
    <row r="214" spans="1:11" ht="12.75">
      <c r="A214" s="1" t="s">
        <v>340</v>
      </c>
      <c r="B214" s="36">
        <f>((B213^2)*(1+8.55246*(LOG(B213,10)))-1)/(1.36136*((B213^2)-1)*(B213-1))</f>
        <v>9.879460463545982</v>
      </c>
      <c r="C214" s="2" t="s">
        <v>218</v>
      </c>
      <c r="D214" s="22">
        <f t="shared" si="1"/>
        <v>9.879460463545982</v>
      </c>
      <c r="E214" s="2" t="s">
        <v>218</v>
      </c>
      <c r="F214" s="148" t="s">
        <v>341</v>
      </c>
      <c r="G214" s="149"/>
      <c r="H214" s="149"/>
      <c r="I214" s="149"/>
      <c r="J214" s="149"/>
      <c r="K214" s="150"/>
    </row>
    <row r="215" spans="1:11" ht="12.75">
      <c r="A215" s="1" t="s">
        <v>342</v>
      </c>
      <c r="B215" s="36">
        <f>(1/(B213-1))*(0.66845+(5.7169*(B213^2)*(LOG(B213,10))/((B213^2)-1)))</f>
        <v>8.99032869484079</v>
      </c>
      <c r="C215" s="2" t="s">
        <v>218</v>
      </c>
      <c r="D215" s="22">
        <f t="shared" si="1"/>
        <v>8.99032869484079</v>
      </c>
      <c r="E215" s="2" t="s">
        <v>218</v>
      </c>
      <c r="F215" s="148" t="s">
        <v>343</v>
      </c>
      <c r="G215" s="149"/>
      <c r="H215" s="149"/>
      <c r="I215" s="149"/>
      <c r="J215" s="149"/>
      <c r="K215" s="150"/>
    </row>
    <row r="216" spans="1:11" ht="12.75">
      <c r="A216" s="1" t="s">
        <v>344</v>
      </c>
      <c r="B216" s="36">
        <f>((B213^2)+1)/((B213^2)-1)</f>
        <v>4.638143552045259</v>
      </c>
      <c r="C216" s="2" t="s">
        <v>218</v>
      </c>
      <c r="D216" s="22">
        <f t="shared" si="1"/>
        <v>4.638143552045259</v>
      </c>
      <c r="E216" s="2" t="s">
        <v>218</v>
      </c>
      <c r="F216" s="148" t="s">
        <v>345</v>
      </c>
      <c r="G216" s="149"/>
      <c r="H216" s="149"/>
      <c r="I216" s="149"/>
      <c r="J216" s="149"/>
      <c r="K216" s="150"/>
    </row>
    <row r="217" spans="1:11" ht="12.75">
      <c r="A217" s="1" t="s">
        <v>346</v>
      </c>
      <c r="B217" s="36">
        <f>B208/B159</f>
        <v>0.11780510402278728</v>
      </c>
      <c r="C217" s="2" t="s">
        <v>111</v>
      </c>
      <c r="D217" s="22">
        <f>B217/25.4</f>
        <v>0.004637996221369578</v>
      </c>
      <c r="E217" s="7" t="s">
        <v>112</v>
      </c>
      <c r="F217" s="148" t="s">
        <v>347</v>
      </c>
      <c r="G217" s="149"/>
      <c r="H217" s="149"/>
      <c r="I217" s="149"/>
      <c r="J217" s="149"/>
      <c r="K217" s="150"/>
    </row>
    <row r="218" spans="1:11" ht="12.75">
      <c r="A218" s="1" t="s">
        <v>348</v>
      </c>
      <c r="B218" s="36">
        <f>B209/B159</f>
        <v>0.21440336756183842</v>
      </c>
      <c r="C218" s="2" t="s">
        <v>111</v>
      </c>
      <c r="D218" s="22">
        <f>B218/25.4</f>
        <v>0.008441077463064505</v>
      </c>
      <c r="E218" s="7" t="s">
        <v>112</v>
      </c>
      <c r="F218" s="148" t="s">
        <v>349</v>
      </c>
      <c r="G218" s="149"/>
      <c r="H218" s="149"/>
      <c r="I218" s="149"/>
      <c r="J218" s="149"/>
      <c r="K218" s="150"/>
    </row>
    <row r="219" spans="1:11" ht="12.75">
      <c r="A219" s="1" t="s">
        <v>350</v>
      </c>
      <c r="B219" s="36">
        <f>(B214/B207)*B159*(B54^2)</f>
        <v>262.8532634809918</v>
      </c>
      <c r="C219" s="2" t="s">
        <v>351</v>
      </c>
      <c r="D219" s="24">
        <f>B219*25.4*25.4*25.4</f>
        <v>4307393.251271875</v>
      </c>
      <c r="E219" s="7" t="s">
        <v>352</v>
      </c>
      <c r="F219" s="148" t="s">
        <v>353</v>
      </c>
      <c r="G219" s="149"/>
      <c r="H219" s="149"/>
      <c r="I219" s="149"/>
      <c r="J219" s="149"/>
      <c r="K219" s="150"/>
    </row>
    <row r="220" spans="1:11" ht="12.75">
      <c r="A220" s="1" t="s">
        <v>354</v>
      </c>
      <c r="B220" s="36">
        <f>(B214/B210)*B159*(B54^2)</f>
        <v>79.40430032496946</v>
      </c>
      <c r="C220" s="2" t="s">
        <v>351</v>
      </c>
      <c r="D220" s="24">
        <f>B220*25.4*25.4*25.4</f>
        <v>1301203.351300495</v>
      </c>
      <c r="E220" s="7" t="s">
        <v>352</v>
      </c>
      <c r="F220" s="148" t="s">
        <v>355</v>
      </c>
      <c r="G220" s="149"/>
      <c r="H220" s="149"/>
      <c r="I220" s="149"/>
      <c r="J220" s="149"/>
      <c r="K220" s="150"/>
    </row>
    <row r="221" spans="1:11" ht="12.75">
      <c r="A221" s="1" t="s">
        <v>356</v>
      </c>
      <c r="B221" s="36">
        <f>(((B61*B217)+1)/B212)+((B61^3)/B219)</f>
        <v>1.27584418915366</v>
      </c>
      <c r="C221" s="2" t="s">
        <v>218</v>
      </c>
      <c r="D221" s="22">
        <f t="shared" si="1"/>
        <v>1.27584418915366</v>
      </c>
      <c r="E221" s="2" t="s">
        <v>218</v>
      </c>
      <c r="F221" s="148" t="s">
        <v>357</v>
      </c>
      <c r="G221" s="149"/>
      <c r="H221" s="149"/>
      <c r="I221" s="149"/>
      <c r="J221" s="149"/>
      <c r="K221" s="150"/>
    </row>
    <row r="222" spans="1:11" ht="12.75">
      <c r="A222" s="1" t="s">
        <v>358</v>
      </c>
      <c r="B222" s="36">
        <f>(((B61*B218)+1)/B212)+((B61^3)/B220)</f>
        <v>2.492965481171195</v>
      </c>
      <c r="C222" s="2" t="s">
        <v>218</v>
      </c>
      <c r="D222" s="22">
        <f>B222</f>
        <v>2.492965481171195</v>
      </c>
      <c r="E222" s="2" t="s">
        <v>218</v>
      </c>
      <c r="F222" s="148" t="s">
        <v>359</v>
      </c>
      <c r="G222" s="149"/>
      <c r="H222" s="149"/>
      <c r="I222" s="149"/>
      <c r="J222" s="149"/>
      <c r="K222" s="150"/>
    </row>
  </sheetData>
  <sheetProtection password="C7F9" sheet="1" objects="1" scenarios="1"/>
  <mergeCells count="255">
    <mergeCell ref="F219:K219"/>
    <mergeCell ref="F210:K210"/>
    <mergeCell ref="F211:K211"/>
    <mergeCell ref="C95:K95"/>
    <mergeCell ref="C96:K96"/>
    <mergeCell ref="C97:K97"/>
    <mergeCell ref="F221:K221"/>
    <mergeCell ref="F222:K222"/>
    <mergeCell ref="A122:B122"/>
    <mergeCell ref="C122:D122"/>
    <mergeCell ref="H122:K122"/>
    <mergeCell ref="A123:K123"/>
    <mergeCell ref="F220:K220"/>
    <mergeCell ref="F208:K208"/>
    <mergeCell ref="F209:K209"/>
    <mergeCell ref="A49:K49"/>
    <mergeCell ref="A50:K50"/>
    <mergeCell ref="C51:K51"/>
    <mergeCell ref="F70:K70"/>
    <mergeCell ref="F63:K63"/>
    <mergeCell ref="F64:K64"/>
    <mergeCell ref="F65:K65"/>
    <mergeCell ref="F66:K66"/>
    <mergeCell ref="F216:K216"/>
    <mergeCell ref="F217:K217"/>
    <mergeCell ref="F218:K218"/>
    <mergeCell ref="F212:K212"/>
    <mergeCell ref="F213:K213"/>
    <mergeCell ref="F214:K214"/>
    <mergeCell ref="F215:K215"/>
    <mergeCell ref="F202:K202"/>
    <mergeCell ref="F203:K203"/>
    <mergeCell ref="F204:K204"/>
    <mergeCell ref="F205:K205"/>
    <mergeCell ref="F206:K206"/>
    <mergeCell ref="F207:K207"/>
    <mergeCell ref="F196:K196"/>
    <mergeCell ref="F197:K197"/>
    <mergeCell ref="F198:K198"/>
    <mergeCell ref="F199:K199"/>
    <mergeCell ref="F200:K200"/>
    <mergeCell ref="F201:K201"/>
    <mergeCell ref="F190:K190"/>
    <mergeCell ref="F191:K191"/>
    <mergeCell ref="F192:K192"/>
    <mergeCell ref="F193:K193"/>
    <mergeCell ref="F194:K194"/>
    <mergeCell ref="F195:K195"/>
    <mergeCell ref="F184:K184"/>
    <mergeCell ref="F185:K185"/>
    <mergeCell ref="F186:K186"/>
    <mergeCell ref="F187:K187"/>
    <mergeCell ref="F188:K188"/>
    <mergeCell ref="F189:K189"/>
    <mergeCell ref="F178:K178"/>
    <mergeCell ref="F179:K179"/>
    <mergeCell ref="F180:K180"/>
    <mergeCell ref="F181:K181"/>
    <mergeCell ref="F182:K182"/>
    <mergeCell ref="F183:K183"/>
    <mergeCell ref="F172:K172"/>
    <mergeCell ref="F173:K173"/>
    <mergeCell ref="F174:K174"/>
    <mergeCell ref="F175:K175"/>
    <mergeCell ref="F176:K176"/>
    <mergeCell ref="F177:K177"/>
    <mergeCell ref="F166:K166"/>
    <mergeCell ref="F167:K167"/>
    <mergeCell ref="F168:K168"/>
    <mergeCell ref="F169:K169"/>
    <mergeCell ref="F170:K170"/>
    <mergeCell ref="F171:K171"/>
    <mergeCell ref="F160:K160"/>
    <mergeCell ref="F161:K161"/>
    <mergeCell ref="F162:K162"/>
    <mergeCell ref="F163:K163"/>
    <mergeCell ref="F164:K164"/>
    <mergeCell ref="F165:K165"/>
    <mergeCell ref="A155:E155"/>
    <mergeCell ref="F155:K155"/>
    <mergeCell ref="A156:K156"/>
    <mergeCell ref="F159:K159"/>
    <mergeCell ref="A157:K157"/>
    <mergeCell ref="A158:K158"/>
    <mergeCell ref="F150:K150"/>
    <mergeCell ref="F151:K151"/>
    <mergeCell ref="F152:K152"/>
    <mergeCell ref="A149:K149"/>
    <mergeCell ref="F153:K153"/>
    <mergeCell ref="F154:K154"/>
    <mergeCell ref="F143:K143"/>
    <mergeCell ref="F144:K144"/>
    <mergeCell ref="F145:K145"/>
    <mergeCell ref="A142:K142"/>
    <mergeCell ref="F146:K146"/>
    <mergeCell ref="F148:K148"/>
    <mergeCell ref="F147:K147"/>
    <mergeCell ref="A148:E148"/>
    <mergeCell ref="F138:K138"/>
    <mergeCell ref="A135:K135"/>
    <mergeCell ref="F139:K139"/>
    <mergeCell ref="F141:K141"/>
    <mergeCell ref="F140:K140"/>
    <mergeCell ref="A141:E141"/>
    <mergeCell ref="A131:K131"/>
    <mergeCell ref="A133:K133"/>
    <mergeCell ref="A132:K132"/>
    <mergeCell ref="C134:K134"/>
    <mergeCell ref="F136:K136"/>
    <mergeCell ref="F137:K137"/>
    <mergeCell ref="A129:K129"/>
    <mergeCell ref="A130:K130"/>
    <mergeCell ref="A124:B128"/>
    <mergeCell ref="C127:K127"/>
    <mergeCell ref="C128:K128"/>
    <mergeCell ref="C124:K124"/>
    <mergeCell ref="C125:K125"/>
    <mergeCell ref="C126:K126"/>
    <mergeCell ref="F115:K115"/>
    <mergeCell ref="F116:K116"/>
    <mergeCell ref="F117:K117"/>
    <mergeCell ref="F118:K118"/>
    <mergeCell ref="A121:B121"/>
    <mergeCell ref="C121:D121"/>
    <mergeCell ref="H121:K121"/>
    <mergeCell ref="F119:K119"/>
    <mergeCell ref="F120:K120"/>
    <mergeCell ref="A107:K107"/>
    <mergeCell ref="F114:K114"/>
    <mergeCell ref="A108:B112"/>
    <mergeCell ref="C111:K111"/>
    <mergeCell ref="C112:K112"/>
    <mergeCell ref="A113:K113"/>
    <mergeCell ref="C108:K108"/>
    <mergeCell ref="C109:K109"/>
    <mergeCell ref="C110:K110"/>
    <mergeCell ref="F104:K104"/>
    <mergeCell ref="A105:B105"/>
    <mergeCell ref="C105:D105"/>
    <mergeCell ref="H105:K105"/>
    <mergeCell ref="A106:B106"/>
    <mergeCell ref="C106:D106"/>
    <mergeCell ref="H106:K106"/>
    <mergeCell ref="A94:B94"/>
    <mergeCell ref="C94:D94"/>
    <mergeCell ref="H94:K94"/>
    <mergeCell ref="F102:K102"/>
    <mergeCell ref="F103:K103"/>
    <mergeCell ref="F101:K101"/>
    <mergeCell ref="A100:K100"/>
    <mergeCell ref="A95:B99"/>
    <mergeCell ref="C98:K98"/>
    <mergeCell ref="C99:K99"/>
    <mergeCell ref="A91:B91"/>
    <mergeCell ref="A92:B92"/>
    <mergeCell ref="C92:D92"/>
    <mergeCell ref="H92:K92"/>
    <mergeCell ref="D91:K91"/>
    <mergeCell ref="A93:B93"/>
    <mergeCell ref="C93:D93"/>
    <mergeCell ref="H93:K93"/>
    <mergeCell ref="A88:K88"/>
    <mergeCell ref="A89:K89"/>
    <mergeCell ref="A90:K90"/>
    <mergeCell ref="A85:K85"/>
    <mergeCell ref="A86:K86"/>
    <mergeCell ref="A87:K87"/>
    <mergeCell ref="A84:B84"/>
    <mergeCell ref="C84:D84"/>
    <mergeCell ref="H84:K84"/>
    <mergeCell ref="F82:K82"/>
    <mergeCell ref="A83:B83"/>
    <mergeCell ref="C83:D83"/>
    <mergeCell ref="H83:K83"/>
    <mergeCell ref="F79:K79"/>
    <mergeCell ref="F80:K80"/>
    <mergeCell ref="F81:K81"/>
    <mergeCell ref="F75:K75"/>
    <mergeCell ref="F76:K76"/>
    <mergeCell ref="F77:K77"/>
    <mergeCell ref="F78:K78"/>
    <mergeCell ref="F71:K71"/>
    <mergeCell ref="F73:K73"/>
    <mergeCell ref="F74:K74"/>
    <mergeCell ref="F67:K67"/>
    <mergeCell ref="F68:K68"/>
    <mergeCell ref="F69:K69"/>
    <mergeCell ref="A72:K72"/>
    <mergeCell ref="F62:K62"/>
    <mergeCell ref="F55:K55"/>
    <mergeCell ref="F56:K56"/>
    <mergeCell ref="F57:K57"/>
    <mergeCell ref="F58:K58"/>
    <mergeCell ref="F59:K59"/>
    <mergeCell ref="F60:K60"/>
    <mergeCell ref="F52:K52"/>
    <mergeCell ref="F53:K53"/>
    <mergeCell ref="F54:K54"/>
    <mergeCell ref="A47:K47"/>
    <mergeCell ref="A48:K48"/>
    <mergeCell ref="F61:K61"/>
    <mergeCell ref="A46:K46"/>
    <mergeCell ref="F39:K39"/>
    <mergeCell ref="F40:K40"/>
    <mergeCell ref="F41:K41"/>
    <mergeCell ref="A42:B42"/>
    <mergeCell ref="C42:K42"/>
    <mergeCell ref="F44:K44"/>
    <mergeCell ref="F45:K45"/>
    <mergeCell ref="F43:K43"/>
    <mergeCell ref="F29:K29"/>
    <mergeCell ref="F30:K30"/>
    <mergeCell ref="F36:K36"/>
    <mergeCell ref="F37:K37"/>
    <mergeCell ref="F38:K38"/>
    <mergeCell ref="A31:K31"/>
    <mergeCell ref="F32:K32"/>
    <mergeCell ref="F33:K33"/>
    <mergeCell ref="F34:K34"/>
    <mergeCell ref="F23:K23"/>
    <mergeCell ref="F24:K24"/>
    <mergeCell ref="F25:K25"/>
    <mergeCell ref="F26:K26"/>
    <mergeCell ref="F27:K27"/>
    <mergeCell ref="A28:K28"/>
    <mergeCell ref="F17:K17"/>
    <mergeCell ref="F18:K18"/>
    <mergeCell ref="F19:K19"/>
    <mergeCell ref="F20:K20"/>
    <mergeCell ref="F21:K21"/>
    <mergeCell ref="F22:K22"/>
    <mergeCell ref="F11:K11"/>
    <mergeCell ref="F12:K12"/>
    <mergeCell ref="F13:K13"/>
    <mergeCell ref="F14:K14"/>
    <mergeCell ref="F15:K15"/>
    <mergeCell ref="F16:K16"/>
    <mergeCell ref="A8:E8"/>
    <mergeCell ref="F8:K8"/>
    <mergeCell ref="A9:K9"/>
    <mergeCell ref="B10:C10"/>
    <mergeCell ref="D10:E10"/>
    <mergeCell ref="F10:K10"/>
    <mergeCell ref="A5:E5"/>
    <mergeCell ref="F5:K5"/>
    <mergeCell ref="A6:E6"/>
    <mergeCell ref="F6:K6"/>
    <mergeCell ref="A7:E7"/>
    <mergeCell ref="F7:K7"/>
    <mergeCell ref="A1:I1"/>
    <mergeCell ref="J1:K1"/>
    <mergeCell ref="A2:I2"/>
    <mergeCell ref="J2:K2"/>
    <mergeCell ref="A3:K3"/>
    <mergeCell ref="A4:K4"/>
  </mergeCells>
  <conditionalFormatting sqref="C95:K95 C108:K108 C124:K124">
    <cfRule type="cellIs" priority="1" dxfId="1" operator="equal" stopIfTrue="1">
      <formula>"A tensão longitudinal não passou"</formula>
    </cfRule>
  </conditionalFormatting>
  <conditionalFormatting sqref="C96:K96 C109:K109 C125:K125">
    <cfRule type="cellIs" priority="2" dxfId="1" operator="equal" stopIfTrue="1">
      <formula>"A tensão radial não passou"</formula>
    </cfRule>
  </conditionalFormatting>
  <conditionalFormatting sqref="C97:K97 C110:K110 C126:K126">
    <cfRule type="cellIs" priority="3" dxfId="1" operator="equal" stopIfTrue="1">
      <formula>"A tensão tangencial não passou"</formula>
    </cfRule>
  </conditionalFormatting>
  <conditionalFormatting sqref="C98:K98">
    <cfRule type="cellIs" priority="4" dxfId="1" operator="equal" stopIfTrue="1">
      <formula>"Não passou: ((SHO+SRO)/2) é maior do que Sfp"</formula>
    </cfRule>
  </conditionalFormatting>
  <conditionalFormatting sqref="C99:K99">
    <cfRule type="cellIs" priority="5" dxfId="1" operator="equal" stopIfTrue="1">
      <formula>"Não passou: ((SHO+STO)/2) é mairo do que Sfp"</formula>
    </cfRule>
  </conditionalFormatting>
  <conditionalFormatting sqref="C111:K111">
    <cfRule type="cellIs" priority="6" dxfId="1" operator="equal" stopIfTrue="1">
      <formula>"Não passou: ((SHA+SRA)/2) é maior do que Sff"</formula>
    </cfRule>
  </conditionalFormatting>
  <conditionalFormatting sqref="C112:K112">
    <cfRule type="cellIs" priority="7" dxfId="1" operator="equal" stopIfTrue="1">
      <formula>"Não passou: ((SHA+STA)/2) é maior do que Sff"</formula>
    </cfRule>
  </conditionalFormatting>
  <conditionalFormatting sqref="C127:K127">
    <cfRule type="cellIs" priority="8" dxfId="1" operator="equal" stopIfTrue="1">
      <formula>"Não passou: ((SHI+SRI)/2) é maior do que Sff"</formula>
    </cfRule>
  </conditionalFormatting>
  <conditionalFormatting sqref="C128:K128">
    <cfRule type="cellIs" priority="9" dxfId="1" operator="equal" stopIfTrue="1">
      <formula>"Não passou: ((SHI+STI)/2) é maior do que Sff"</formula>
    </cfRule>
  </conditionalFormatting>
  <conditionalFormatting sqref="F141:K141 F148:K148 F155:K155">
    <cfRule type="cellIs" priority="10" dxfId="1" operator="equal" stopIfTrue="1">
      <formula>"Reanalisar, os flanges não tem rigidez suficiente"</formula>
    </cfRule>
  </conditionalFormatting>
  <conditionalFormatting sqref="C42:K42">
    <cfRule type="cellIs" priority="11" dxfId="0" operator="equal" stopIfTrue="1">
      <formula>"A área resistente dos parafusos está OK!"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B9" sqref="B9:H9"/>
    </sheetView>
  </sheetViews>
  <sheetFormatPr defaultColWidth="9.140625" defaultRowHeight="12.75"/>
  <cols>
    <col min="1" max="1" width="51.421875" style="52" bestFit="1" customWidth="1"/>
    <col min="2" max="2" width="14.28125" style="52" bestFit="1" customWidth="1"/>
    <col min="3" max="3" width="10.8515625" style="52" customWidth="1"/>
    <col min="4" max="4" width="9.421875" style="52" bestFit="1" customWidth="1"/>
    <col min="5" max="5" width="14.28125" style="52" bestFit="1" customWidth="1"/>
    <col min="6" max="6" width="12.57421875" style="52" bestFit="1" customWidth="1"/>
    <col min="7" max="7" width="12.57421875" style="54" bestFit="1" customWidth="1"/>
    <col min="8" max="8" width="14.28125" style="54" bestFit="1" customWidth="1"/>
    <col min="9" max="10" width="9.140625" style="54" customWidth="1"/>
    <col min="11" max="16384" width="9.140625" style="52" customWidth="1"/>
  </cols>
  <sheetData>
    <row r="1" spans="2:8" ht="13.5" thickBot="1">
      <c r="B1" s="226" t="s">
        <v>407</v>
      </c>
      <c r="C1" s="227"/>
      <c r="D1" s="228"/>
      <c r="E1" s="53" t="s">
        <v>394</v>
      </c>
      <c r="F1" s="229" t="s">
        <v>385</v>
      </c>
      <c r="G1" s="230"/>
      <c r="H1" s="53" t="s">
        <v>386</v>
      </c>
    </row>
    <row r="2" spans="1:8" ht="12.75">
      <c r="A2" s="52" t="s">
        <v>413</v>
      </c>
      <c r="B2" s="55" t="s">
        <v>379</v>
      </c>
      <c r="C2" s="56" t="s">
        <v>380</v>
      </c>
      <c r="D2" s="57" t="s">
        <v>381</v>
      </c>
      <c r="E2" s="58">
        <v>0</v>
      </c>
      <c r="F2" s="55" t="s">
        <v>383</v>
      </c>
      <c r="G2" s="57" t="s">
        <v>384</v>
      </c>
      <c r="H2" s="59">
        <v>4</v>
      </c>
    </row>
    <row r="3" spans="1:8" ht="12.75">
      <c r="A3" s="49" t="s">
        <v>404</v>
      </c>
      <c r="B3" s="42">
        <v>384</v>
      </c>
      <c r="C3" s="43">
        <v>384</v>
      </c>
      <c r="D3" s="44">
        <v>384</v>
      </c>
      <c r="E3" s="50">
        <v>214</v>
      </c>
      <c r="F3" s="42">
        <v>248</v>
      </c>
      <c r="G3" s="44">
        <v>250</v>
      </c>
      <c r="H3" s="45">
        <v>313</v>
      </c>
    </row>
    <row r="4" spans="1:8" ht="12.75">
      <c r="A4" s="104" t="s">
        <v>406</v>
      </c>
      <c r="B4" s="231">
        <f>B26*B3</f>
        <v>1.154112</v>
      </c>
      <c r="C4" s="232">
        <f>$B$26*C3</f>
        <v>1.154112</v>
      </c>
      <c r="D4" s="233">
        <f>$B$26*D3</f>
        <v>1.154112</v>
      </c>
      <c r="E4" s="234">
        <f>B26*E3</f>
        <v>0.6431770000000001</v>
      </c>
      <c r="F4" s="231">
        <f>B26*F3</f>
        <v>0.7453640000000001</v>
      </c>
      <c r="G4" s="233">
        <f>B26*G3</f>
        <v>0.7513750000000001</v>
      </c>
      <c r="H4" s="236">
        <f>B26*H3</f>
        <v>0.9407215000000001</v>
      </c>
    </row>
    <row r="5" spans="1:8" ht="12.75">
      <c r="A5" s="105" t="s">
        <v>395</v>
      </c>
      <c r="B5" s="231"/>
      <c r="C5" s="232"/>
      <c r="D5" s="233"/>
      <c r="E5" s="235"/>
      <c r="F5" s="231"/>
      <c r="G5" s="233"/>
      <c r="H5" s="237"/>
    </row>
    <row r="6" spans="1:8" ht="12.75">
      <c r="A6" s="49" t="s">
        <v>370</v>
      </c>
      <c r="B6" s="46" t="s">
        <v>371</v>
      </c>
      <c r="C6" s="40" t="s">
        <v>377</v>
      </c>
      <c r="D6" s="47" t="s">
        <v>382</v>
      </c>
      <c r="E6" s="51" t="s">
        <v>371</v>
      </c>
      <c r="F6" s="46" t="s">
        <v>377</v>
      </c>
      <c r="G6" s="47" t="s">
        <v>382</v>
      </c>
      <c r="H6" s="48" t="s">
        <v>371</v>
      </c>
    </row>
    <row r="7" spans="1:8" ht="12.75">
      <c r="A7" s="49" t="s">
        <v>408</v>
      </c>
      <c r="B7" s="250">
        <f>'1A-PDV27A-lipseal'!B35</f>
        <v>2</v>
      </c>
      <c r="C7" s="251"/>
      <c r="D7" s="252"/>
      <c r="E7" s="62">
        <f>'0-TG carretel-cprofile'!B35</f>
        <v>1.5</v>
      </c>
      <c r="F7" s="60">
        <f>'3A-S bypass-espiral'!B35</f>
        <v>2</v>
      </c>
      <c r="G7" s="61">
        <v>2</v>
      </c>
      <c r="H7" s="63">
        <f>'4-PDV-27C-lipseal'!B35</f>
        <v>2</v>
      </c>
    </row>
    <row r="8" spans="1:8" ht="12.75">
      <c r="A8" s="49" t="s">
        <v>409</v>
      </c>
      <c r="B8" s="253">
        <f>'1A-PDV27A-lipseal'!B36</f>
        <v>48</v>
      </c>
      <c r="C8" s="254"/>
      <c r="D8" s="255"/>
      <c r="E8" s="65">
        <f>'0-TG carretel-cprofile'!B36</f>
        <v>72</v>
      </c>
      <c r="F8" s="64">
        <f>'3A-S bypass-espiral'!B36</f>
        <v>32</v>
      </c>
      <c r="G8" s="44">
        <v>32</v>
      </c>
      <c r="H8" s="66">
        <f>'4-PDV-27C-lipseal'!B36</f>
        <v>32</v>
      </c>
    </row>
    <row r="9" spans="1:8" ht="12.75">
      <c r="A9" s="49" t="s">
        <v>410</v>
      </c>
      <c r="B9" s="238" t="s">
        <v>411</v>
      </c>
      <c r="C9" s="239"/>
      <c r="D9" s="240"/>
      <c r="E9" s="67" t="s">
        <v>412</v>
      </c>
      <c r="F9" s="68" t="s">
        <v>412</v>
      </c>
      <c r="G9" s="69" t="s">
        <v>412</v>
      </c>
      <c r="H9" s="70" t="s">
        <v>411</v>
      </c>
    </row>
    <row r="10" spans="1:8" ht="12.75">
      <c r="A10" s="49" t="s">
        <v>372</v>
      </c>
      <c r="B10" s="77">
        <f>'1A-PDV27A-lipseal'!D45/B8</f>
        <v>13667.172468930645</v>
      </c>
      <c r="C10" s="78">
        <f>'1B-PDV27A-espiralada'!D45/B8</f>
        <v>16687.298450412996</v>
      </c>
      <c r="D10" s="79">
        <f>'1C-PDV27A-cprofile'!D45/B8</f>
        <v>13962.039653361115</v>
      </c>
      <c r="E10" s="80">
        <f>'0-TG carretel-cprofile'!D45/E8</f>
        <v>7328.778718298975</v>
      </c>
      <c r="F10" s="77">
        <f>'3A-S bypass-espiral'!D45/F8</f>
        <v>14371.5709723757</v>
      </c>
      <c r="G10" s="79">
        <f>'3B-S bypass-cprofile'!D45/G8</f>
        <v>12686.339759185066</v>
      </c>
      <c r="H10" s="81">
        <f>'4-PDV-27C-lipseal'!D45/H8</f>
        <v>13120.092847838408</v>
      </c>
    </row>
    <row r="11" spans="1:8" ht="12.75">
      <c r="A11" s="49" t="s">
        <v>375</v>
      </c>
      <c r="B11" s="82">
        <f>14.22*100*B10/'1A-PDV27A-lipseal'!D37</f>
        <v>11358.927257360563</v>
      </c>
      <c r="C11" s="83">
        <f>14.22*100*C10/'1B-PDV27A-espiralada'!D37</f>
        <v>13868.984945569924</v>
      </c>
      <c r="D11" s="84">
        <f>14.22*100*D10/'1C-PDV27A-cprofile'!D37</f>
        <v>11603.99439953225</v>
      </c>
      <c r="E11" s="85">
        <f>1422*E10/'0-TG carretel-cprofile'!D37</f>
        <v>11497.077209814757</v>
      </c>
      <c r="F11" s="82">
        <f>1422*F10/'3A-S bypass-espiral'!D37</f>
        <v>11944.360080354129</v>
      </c>
      <c r="G11" s="84">
        <f>1422*G10/'3B-S bypass-cprofile'!D37</f>
        <v>10543.747129432346</v>
      </c>
      <c r="H11" s="86">
        <f>1422*H10/'4-PDV-27C-lipseal'!D37</f>
        <v>10904.243771504376</v>
      </c>
    </row>
    <row r="12" spans="1:8" ht="12.75">
      <c r="A12" s="49" t="s">
        <v>373</v>
      </c>
      <c r="B12" s="87">
        <f>'1A-PDV27A-lipseal'!D116/B8</f>
        <v>30177.13863662824</v>
      </c>
      <c r="C12" s="88">
        <f>'1B-PDV27A-espiralada'!D116/B8</f>
        <v>30177.13863662825</v>
      </c>
      <c r="D12" s="89">
        <f>'1C-PDV27A-cprofile'!D116/B8</f>
        <v>30177.138636628253</v>
      </c>
      <c r="E12" s="90">
        <f>'0-TG carretel-cprofile'!D116/E8</f>
        <v>14418.85191025</v>
      </c>
      <c r="F12" s="91">
        <f>'3A-S bypass-espiral'!D116/F8</f>
        <v>15622.997929545962</v>
      </c>
      <c r="G12" s="92">
        <f>'3B-S bypass-cprofile'!D116/G8</f>
        <v>15622.997929545956</v>
      </c>
      <c r="H12" s="93">
        <f>'4-PDV-27C-lipseal'!D116/H8</f>
        <v>25299.271766527727</v>
      </c>
    </row>
    <row r="13" spans="1:8" ht="12.75">
      <c r="A13" s="49" t="s">
        <v>374</v>
      </c>
      <c r="B13" s="82">
        <f>14.22*100*B12/'1A-PDV27A-lipseal'!D37</f>
        <v>25080.529523424168</v>
      </c>
      <c r="C13" s="83">
        <f>14.22*100*C12/'1B-PDV27A-espiralada'!D37</f>
        <v>25080.52952342418</v>
      </c>
      <c r="D13" s="84">
        <f>14.22*100*D12/'1C-PDV27A-cprofile'!D37</f>
        <v>25080.529523424182</v>
      </c>
      <c r="E13" s="85">
        <f>1422*E12/'0-TG carretel-cprofile'!D37</f>
        <v>22619.683314371632</v>
      </c>
      <c r="F13" s="82">
        <f>1422*F12/'3A-S bypass-espiral'!D37</f>
        <v>12984.433863480192</v>
      </c>
      <c r="G13" s="84">
        <f>1422*G12/'3B-S bypass-cprofile'!D37</f>
        <v>12984.433863480186</v>
      </c>
      <c r="H13" s="86">
        <f>1422*H12/'4-PDV-27C-lipseal'!D37</f>
        <v>21026.48432318123</v>
      </c>
    </row>
    <row r="14" spans="1:8" ht="12.75">
      <c r="A14" s="49" t="s">
        <v>376</v>
      </c>
      <c r="B14" s="94">
        <f>0.2*(B7*25.4)*B10*9.81/1000</f>
        <v>1362.2016131093299</v>
      </c>
      <c r="C14" s="95">
        <f>0.2*(B7*25.4)*C10*9.81/1000</f>
        <v>1663.216361633283</v>
      </c>
      <c r="D14" s="96">
        <f>0.2*(B7*25.4)*D10*9.81/1000</f>
        <v>1391.5909074346412</v>
      </c>
      <c r="E14" s="97">
        <f>0.2*(E7*25.4)*E10*9.81/1000</f>
        <v>547.8423325060286</v>
      </c>
      <c r="F14" s="94">
        <f>0.2*(F7*25.4)*F10*9.81/1000</f>
        <v>1432.4087301882973</v>
      </c>
      <c r="G14" s="96">
        <f>0.2*(G7*25.4)*G10*9.81/1000</f>
        <v>1264.442409262072</v>
      </c>
      <c r="H14" s="98">
        <f>0.2*(H7*25.4)*H10*9.81/1000</f>
        <v>1307.674406106915</v>
      </c>
    </row>
    <row r="15" spans="1:8" ht="13.5" thickBot="1">
      <c r="A15" s="49" t="s">
        <v>396</v>
      </c>
      <c r="B15" s="99">
        <f>0.2*(B7*25.4)*B12*9.81/1000</f>
        <v>3007.7433370572817</v>
      </c>
      <c r="C15" s="100">
        <f>0.2*(B7*25.4)*C12*9.81/1000</f>
        <v>3007.743337057283</v>
      </c>
      <c r="D15" s="101">
        <f>0.2*(B7*25.4)*D12*9.81/1000</f>
        <v>3007.7433370572835</v>
      </c>
      <c r="E15" s="102">
        <f>0.2*(E7*25.4)*E12*9.81/1000</f>
        <v>1077.84090176539</v>
      </c>
      <c r="F15" s="99">
        <f>0.2*(F7*25.4)*F12*9.81/1000</f>
        <v>1557.1379544386743</v>
      </c>
      <c r="G15" s="101">
        <f>0.2*(G7*25.4)*G12*9.81/1000</f>
        <v>1557.1379544386737</v>
      </c>
      <c r="H15" s="103">
        <f>0.2*(H7*25.4)*H12*9.81/1000</f>
        <v>2521.568297261112</v>
      </c>
    </row>
    <row r="16" spans="2:6" ht="12.75">
      <c r="B16" s="54"/>
      <c r="C16" s="54"/>
      <c r="D16" s="54"/>
      <c r="E16" s="54"/>
      <c r="F16" s="54"/>
    </row>
    <row r="17" spans="2:6" ht="12.75">
      <c r="B17" s="54"/>
      <c r="C17" s="54"/>
      <c r="D17" s="54"/>
      <c r="E17" s="54"/>
      <c r="F17" s="54"/>
    </row>
    <row r="18" spans="2:6" ht="13.5" thickBot="1">
      <c r="B18" s="71"/>
      <c r="C18" s="54"/>
      <c r="E18" s="54"/>
      <c r="F18" s="54"/>
    </row>
    <row r="19" spans="1:7" ht="12.75">
      <c r="A19" s="72" t="s">
        <v>397</v>
      </c>
      <c r="B19" s="40">
        <v>20</v>
      </c>
      <c r="C19" s="54"/>
      <c r="D19" s="241"/>
      <c r="E19" s="242"/>
      <c r="F19" s="242"/>
      <c r="G19" s="243"/>
    </row>
    <row r="20" spans="1:7" ht="12.75">
      <c r="A20" s="72" t="s">
        <v>398</v>
      </c>
      <c r="B20" s="40">
        <v>523</v>
      </c>
      <c r="C20" s="54"/>
      <c r="D20" s="244"/>
      <c r="E20" s="245"/>
      <c r="F20" s="245"/>
      <c r="G20" s="246"/>
    </row>
    <row r="21" spans="1:7" ht="12.75">
      <c r="A21" s="72" t="s">
        <v>399</v>
      </c>
      <c r="B21" s="40">
        <v>380</v>
      </c>
      <c r="C21" s="54"/>
      <c r="D21" s="244"/>
      <c r="E21" s="245"/>
      <c r="F21" s="245"/>
      <c r="G21" s="246"/>
    </row>
    <row r="22" spans="1:7" ht="12.75">
      <c r="A22" s="73" t="s">
        <v>400</v>
      </c>
      <c r="B22" s="74">
        <v>1.85E-05</v>
      </c>
      <c r="C22" s="54"/>
      <c r="D22" s="244"/>
      <c r="E22" s="245"/>
      <c r="F22" s="245"/>
      <c r="G22" s="246"/>
    </row>
    <row r="23" spans="1:7" ht="12.75">
      <c r="A23" s="73" t="s">
        <v>401</v>
      </c>
      <c r="B23" s="74">
        <v>1.75E-05</v>
      </c>
      <c r="C23" s="54"/>
      <c r="D23" s="244"/>
      <c r="E23" s="245"/>
      <c r="F23" s="245"/>
      <c r="G23" s="246"/>
    </row>
    <row r="24" spans="1:7" ht="13.5" thickBot="1">
      <c r="A24" s="73" t="s">
        <v>402</v>
      </c>
      <c r="B24" s="75">
        <f>B22*(B20-B19)</f>
        <v>0.0093055</v>
      </c>
      <c r="C24" s="54"/>
      <c r="D24" s="247"/>
      <c r="E24" s="248"/>
      <c r="F24" s="248"/>
      <c r="G24" s="249"/>
    </row>
    <row r="25" spans="1:6" ht="12.75">
      <c r="A25" s="73" t="s">
        <v>403</v>
      </c>
      <c r="B25" s="75">
        <f>B23*(B21-B19)</f>
        <v>0.006299999999999999</v>
      </c>
      <c r="C25" s="54"/>
      <c r="D25" s="54"/>
      <c r="E25" s="54"/>
      <c r="F25" s="54"/>
    </row>
    <row r="26" spans="1:6" ht="12.75">
      <c r="A26" s="73" t="s">
        <v>405</v>
      </c>
      <c r="B26" s="76">
        <f>B24-B25</f>
        <v>0.0030055000000000004</v>
      </c>
      <c r="C26" s="54"/>
      <c r="D26" s="54"/>
      <c r="E26" s="54"/>
      <c r="F26" s="54"/>
    </row>
    <row r="27" spans="2:6" ht="12.75">
      <c r="B27" s="54"/>
      <c r="C27" s="54"/>
      <c r="D27" s="54"/>
      <c r="E27" s="54"/>
      <c r="F27" s="54"/>
    </row>
    <row r="28" spans="2:6" ht="12.75">
      <c r="B28" s="54"/>
      <c r="C28" s="54"/>
      <c r="D28" s="54"/>
      <c r="E28" s="54"/>
      <c r="F28" s="54"/>
    </row>
    <row r="29" spans="2:6" ht="12.75">
      <c r="B29" s="54"/>
      <c r="C29" s="54"/>
      <c r="D29" s="54"/>
      <c r="E29" s="54"/>
      <c r="F29" s="54"/>
    </row>
    <row r="30" spans="2:6" ht="12.75">
      <c r="B30" s="54"/>
      <c r="C30" s="54"/>
      <c r="D30" s="54"/>
      <c r="E30" s="54"/>
      <c r="F30" s="54"/>
    </row>
    <row r="31" spans="2:6" ht="12.75">
      <c r="B31" s="54"/>
      <c r="C31" s="54"/>
      <c r="D31" s="54"/>
      <c r="E31" s="54"/>
      <c r="F31" s="54"/>
    </row>
    <row r="32" spans="2:6" ht="12.75">
      <c r="B32" s="54"/>
      <c r="C32" s="54"/>
      <c r="D32" s="54"/>
      <c r="E32" s="54"/>
      <c r="F32" s="54"/>
    </row>
    <row r="33" spans="2:6" ht="12.75">
      <c r="B33" s="54"/>
      <c r="C33" s="54"/>
      <c r="D33" s="54"/>
      <c r="E33" s="54"/>
      <c r="F33" s="54"/>
    </row>
    <row r="34" spans="2:6" ht="12.75">
      <c r="B34" s="54"/>
      <c r="C34" s="54"/>
      <c r="D34" s="54"/>
      <c r="E34" s="54"/>
      <c r="F34" s="54"/>
    </row>
    <row r="35" spans="2:6" ht="12.75">
      <c r="B35" s="54"/>
      <c r="C35" s="54"/>
      <c r="D35" s="54"/>
      <c r="E35" s="54"/>
      <c r="F35" s="54"/>
    </row>
    <row r="36" spans="2:6" ht="12.75">
      <c r="B36" s="54"/>
      <c r="C36" s="54"/>
      <c r="D36" s="54"/>
      <c r="E36" s="54"/>
      <c r="F36" s="54"/>
    </row>
    <row r="37" spans="2:6" ht="12.75">
      <c r="B37" s="54"/>
      <c r="C37" s="54"/>
      <c r="D37" s="54"/>
      <c r="E37" s="54"/>
      <c r="F37" s="54"/>
    </row>
    <row r="38" spans="2:6" ht="12.75">
      <c r="B38" s="54"/>
      <c r="C38" s="54"/>
      <c r="D38" s="54"/>
      <c r="E38" s="54"/>
      <c r="F38" s="54"/>
    </row>
    <row r="42" ht="14.25" customHeight="1"/>
    <row r="49" ht="12.75" customHeight="1"/>
  </sheetData>
  <sheetProtection password="C7F9" sheet="1" objects="1" scenarios="1"/>
  <mergeCells count="13">
    <mergeCell ref="H4:H5"/>
    <mergeCell ref="B9:D9"/>
    <mergeCell ref="D19:G24"/>
    <mergeCell ref="B7:D7"/>
    <mergeCell ref="B8:D8"/>
    <mergeCell ref="B1:D1"/>
    <mergeCell ref="F1:G1"/>
    <mergeCell ref="B4:B5"/>
    <mergeCell ref="C4:C5"/>
    <mergeCell ref="D4:D5"/>
    <mergeCell ref="E4:E5"/>
    <mergeCell ref="F4:F5"/>
    <mergeCell ref="G4:G5"/>
  </mergeCells>
  <printOptions/>
  <pageMargins left="0.787401575" right="0.787401575" top="0.53" bottom="0.46" header="0.492125985" footer="0.49212598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Patty</cp:lastModifiedBy>
  <cp:lastPrinted>2007-01-15T18:15:55Z</cp:lastPrinted>
  <dcterms:created xsi:type="dcterms:W3CDTF">2007-01-15T11:31:48Z</dcterms:created>
  <dcterms:modified xsi:type="dcterms:W3CDTF">2015-12-03T22:37:34Z</dcterms:modified>
  <cp:category/>
  <cp:version/>
  <cp:contentType/>
  <cp:contentStatus/>
</cp:coreProperties>
</file>