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90" yWindow="60" windowWidth="9420" windowHeight="4245" activeTab="0"/>
  </bookViews>
  <sheets>
    <sheet name="Capa" sheetId="1" r:id="rId1"/>
    <sheet name="pol" sheetId="2" r:id="rId2"/>
    <sheet name="mm" sheetId="3" r:id="rId3"/>
    <sheet name="Material" sheetId="4" r:id="rId4"/>
  </sheets>
  <definedNames>
    <definedName name="CRITERIA" localSheetId="0">'Capa'!$C:$C</definedName>
    <definedName name="_xlnm.Print_Titles" localSheetId="3">'Material'!$1:$7</definedName>
    <definedName name="_xlnm.Print_Titles" localSheetId="2">'mm'!$1:$6</definedName>
    <definedName name="_xlnm.Print_Titles" localSheetId="1">'pol'!$5:$6</definedName>
    <definedName name="Z_A80656CD_5076_4A60_856C_22D4CC620B8A_.wvu.Cols" localSheetId="0" hidden="1">'Capa'!$A:$A</definedName>
    <definedName name="Z_A80656CD_5076_4A60_856C_22D4CC620B8A_.wvu.Cols" localSheetId="2" hidden="1">'mm'!$A:$C</definedName>
    <definedName name="Z_A80656CD_5076_4A60_856C_22D4CC620B8A_.wvu.Cols" localSheetId="1" hidden="1">'pol'!$A:$C</definedName>
    <definedName name="Z_A80656CD_5076_4A60_856C_22D4CC620B8A_.wvu.FilterData" localSheetId="0" hidden="1">'Capa'!$C$29:$C$309</definedName>
    <definedName name="Z_A80656CD_5076_4A60_856C_22D4CC620B8A_.wvu.PrintTitles" localSheetId="3" hidden="1">'Material'!$1:$7</definedName>
    <definedName name="Z_A80656CD_5076_4A60_856C_22D4CC620B8A_.wvu.PrintTitles" localSheetId="2" hidden="1">'mm'!$1:$6</definedName>
    <definedName name="Z_A80656CD_5076_4A60_856C_22D4CC620B8A_.wvu.PrintTitles" localSheetId="1" hidden="1">'pol'!$5:$6</definedName>
    <definedName name="Z_A80656CD_5076_4A60_856C_22D4CC620B8A_.wvu.Rows" localSheetId="0" hidden="1">'Capa'!$28:$59,'Capa'!$84:$84</definedName>
    <definedName name="Z_A80656CD_5076_4A60_856C_22D4CC620B8A_.wvu.Rows" localSheetId="2" hidden="1">'mm'!$14:$22,'mm'!$30:$38,'mm'!$46:$54,'mm'!$64:$70,'mm'!$81:$86,'mm'!$97:$102,'mm'!$113:$118,'mm'!$129:$134,'mm'!$145:$150,'mm'!$161:$166,'mm'!$177:$182,'mm'!$191:$198,'mm'!$210:$214,'mm'!$226:$230,'mm'!$242:$246,'mm'!$278:$278,'mm'!$294:$294,'mm'!$309:$310,'mm'!$325:$326,'mm'!$341:$342,'mm'!$357:$358,'mm'!$373:$374,'mm'!$377:$390,'mm'!$393:$406,'mm'!$414:$422,'mm'!$425:$438,'mm'!$441:$454,'mm'!$457:$470,'mm'!$473:$486,'mm'!$489:$520</definedName>
    <definedName name="Z_A80656CD_5076_4A60_856C_22D4CC620B8A_.wvu.Rows" localSheetId="1" hidden="1">'pol'!$14:$22,'pol'!$30:$38,'pol'!$46:$54,'pol'!$64:$70,'pol'!$81:$86,'pol'!$97:$102,'pol'!$113:$118,'pol'!$129:$134,'pol'!$145:$150,'pol'!$161:$166,'pol'!$177:$182,'pol'!$191:$198,'pol'!$210:$214,'pol'!$226:$230,'pol'!$242:$246,'pol'!$278:$278,'pol'!$294:$294,'pol'!$309:$310,'pol'!$325:$326,'pol'!$341:$342,'pol'!$357:$358,'pol'!$373:$374,'pol'!$377:$390,'pol'!$393:$406,'pol'!$414:$422,'pol'!$425:$438,'pol'!$441:$454,'pol'!$457:$470,'pol'!$473:$486,'pol'!$489:$521</definedName>
  </definedNames>
  <calcPr fullCalcOnLoad="1"/>
</workbook>
</file>

<file path=xl/comments1.xml><?xml version="1.0" encoding="utf-8"?>
<comments xmlns="http://schemas.openxmlformats.org/spreadsheetml/2006/main">
  <authors>
    <author>brpw2k</author>
  </authors>
  <commentList>
    <comment ref="G39" authorId="0">
      <text>
        <r>
          <rPr>
            <sz val="8"/>
            <rFont val="Tahoma"/>
            <family val="0"/>
          </rPr>
          <t xml:space="preserve">Costura
</t>
        </r>
      </text>
    </comment>
    <comment ref="G38" authorId="0">
      <text>
        <r>
          <rPr>
            <sz val="8"/>
            <rFont val="Tahoma"/>
            <family val="0"/>
          </rPr>
          <t>Material</t>
        </r>
      </text>
    </comment>
    <comment ref="H38" authorId="0">
      <text>
        <r>
          <rPr>
            <sz val="8"/>
            <rFont val="Tahoma"/>
            <family val="0"/>
          </rPr>
          <t>Sc (ksi)</t>
        </r>
        <r>
          <rPr>
            <sz val="8"/>
            <rFont val="Tahoma"/>
            <family val="0"/>
          </rPr>
          <t xml:space="preserve">
</t>
        </r>
      </text>
    </comment>
    <comment ref="G48" authorId="0">
      <text>
        <r>
          <rPr>
            <sz val="8"/>
            <rFont val="Tahoma"/>
            <family val="0"/>
          </rPr>
          <t>Notas B31.3</t>
        </r>
      </text>
    </comment>
    <comment ref="G49" authorId="0">
      <text>
        <r>
          <rPr>
            <sz val="8"/>
            <rFont val="Tahoma"/>
            <family val="0"/>
          </rPr>
          <t>Categorias</t>
        </r>
        <r>
          <rPr>
            <sz val="8"/>
            <rFont val="Tahoma"/>
            <family val="0"/>
          </rPr>
          <t xml:space="preserve">
</t>
        </r>
      </text>
    </comment>
    <comment ref="J34" authorId="0">
      <text>
        <r>
          <rPr>
            <sz val="8"/>
            <rFont val="Tahoma"/>
            <family val="0"/>
          </rPr>
          <t>Temperatura</t>
        </r>
        <r>
          <rPr>
            <sz val="8"/>
            <rFont val="Tahoma"/>
            <family val="0"/>
          </rPr>
          <t xml:space="preserve">
</t>
        </r>
      </text>
    </comment>
    <comment ref="I38" authorId="0">
      <text>
        <r>
          <rPr>
            <sz val="8"/>
            <rFont val="Tahoma"/>
            <family val="0"/>
          </rPr>
          <t>Unidade da corrosão</t>
        </r>
      </text>
    </comment>
    <comment ref="G34" authorId="0">
      <text>
        <r>
          <rPr>
            <sz val="8"/>
            <rFont val="Tahoma"/>
            <family val="0"/>
          </rPr>
          <t>Espessura parede Fluido Normal</t>
        </r>
        <r>
          <rPr>
            <sz val="8"/>
            <rFont val="Tahoma"/>
            <family val="0"/>
          </rPr>
          <t xml:space="preserve">
</t>
        </r>
      </text>
    </comment>
    <comment ref="G35" authorId="0">
      <text>
        <r>
          <rPr>
            <sz val="8"/>
            <rFont val="Tahoma"/>
            <family val="0"/>
          </rPr>
          <t>Espessura parede fluido normal + corrossão</t>
        </r>
      </text>
    </comment>
  </commentList>
</comments>
</file>

<file path=xl/sharedStrings.xml><?xml version="1.0" encoding="utf-8"?>
<sst xmlns="http://schemas.openxmlformats.org/spreadsheetml/2006/main" count="611" uniqueCount="174">
  <si>
    <t>STD</t>
  </si>
  <si>
    <t>XS</t>
  </si>
  <si>
    <t>XXS</t>
  </si>
  <si>
    <t>DN</t>
  </si>
  <si>
    <t>SCH</t>
  </si>
  <si>
    <t>pol</t>
  </si>
  <si>
    <t>mm</t>
  </si>
  <si>
    <t>Kg/m</t>
  </si>
  <si>
    <t>cm</t>
  </si>
  <si>
    <t>-</t>
  </si>
  <si>
    <t>5s</t>
  </si>
  <si>
    <t>10s</t>
  </si>
  <si>
    <t>40s</t>
  </si>
  <si>
    <t>80s</t>
  </si>
  <si>
    <t>lb/pé</t>
  </si>
  <si>
    <t>=</t>
  </si>
  <si>
    <t>DIÂMETRO NOMINAL:</t>
  </si>
  <si>
    <t>PROPRIEDADES DOS TUBOS</t>
  </si>
  <si>
    <t>DIÂMETRO EXTERNO:</t>
  </si>
  <si>
    <t>ESPESSURA DE PAREDE:</t>
  </si>
  <si>
    <t>Pol.</t>
  </si>
  <si>
    <t>DIÂMETRO INTERNO:</t>
  </si>
  <si>
    <t>ÁREA METÁLICA:</t>
  </si>
  <si>
    <t>ÁREA DO FLUIDO:</t>
  </si>
  <si>
    <t>MOMENTO DE INÉRCIA:</t>
  </si>
  <si>
    <t>MÓDULO RESISTENTE:</t>
  </si>
  <si>
    <t>RAIO DE GIRAÇÃO:</t>
  </si>
  <si>
    <t>PESO DO TUBO VAZIO:</t>
  </si>
  <si>
    <t>PESO DO TUBO CHÉIO DE ÁGUA:</t>
  </si>
  <si>
    <t>I =</t>
  </si>
  <si>
    <t>Z =</t>
  </si>
  <si>
    <r>
      <t>r</t>
    </r>
    <r>
      <rPr>
        <b/>
        <vertAlign val="subscript"/>
        <sz val="8"/>
        <color indexed="9"/>
        <rFont val="Arial"/>
        <family val="2"/>
      </rPr>
      <t>g</t>
    </r>
    <r>
      <rPr>
        <b/>
        <sz val="8"/>
        <color indexed="9"/>
        <rFont val="Arial"/>
        <family val="2"/>
      </rPr>
      <t xml:space="preserve"> =</t>
    </r>
  </si>
  <si>
    <t>D =</t>
  </si>
  <si>
    <t>d =</t>
  </si>
  <si>
    <t>A =</t>
  </si>
  <si>
    <r>
      <t>A</t>
    </r>
    <r>
      <rPr>
        <b/>
        <vertAlign val="subscript"/>
        <sz val="8"/>
        <color indexed="9"/>
        <rFont val="Arial"/>
        <family val="2"/>
      </rPr>
      <t>f</t>
    </r>
    <r>
      <rPr>
        <b/>
        <sz val="8"/>
        <color indexed="9"/>
        <rFont val="Arial"/>
        <family val="2"/>
      </rPr>
      <t xml:space="preserve"> =</t>
    </r>
  </si>
  <si>
    <t>w =</t>
  </si>
  <si>
    <r>
      <t>w</t>
    </r>
    <r>
      <rPr>
        <b/>
        <vertAlign val="subscript"/>
        <sz val="8"/>
        <color indexed="9"/>
        <rFont val="Arial"/>
        <family val="2"/>
      </rPr>
      <t>1</t>
    </r>
    <r>
      <rPr>
        <b/>
        <sz val="8"/>
        <color indexed="9"/>
        <rFont val="Arial"/>
        <family val="2"/>
      </rPr>
      <t xml:space="preserve"> =</t>
    </r>
  </si>
  <si>
    <t>D</t>
  </si>
  <si>
    <t>t</t>
  </si>
  <si>
    <t>d</t>
  </si>
  <si>
    <t>I</t>
  </si>
  <si>
    <t>Z</t>
  </si>
  <si>
    <t>Peso vazio</t>
  </si>
  <si>
    <t>Área fluído</t>
  </si>
  <si>
    <t>Área metal</t>
  </si>
  <si>
    <t>Chéio água</t>
  </si>
  <si>
    <r>
      <t>r</t>
    </r>
    <r>
      <rPr>
        <b/>
        <vertAlign val="subscript"/>
        <sz val="8"/>
        <rFont val="Arial"/>
        <family val="2"/>
      </rPr>
      <t>g</t>
    </r>
  </si>
  <si>
    <r>
      <t>pol</t>
    </r>
    <r>
      <rPr>
        <b/>
        <vertAlign val="superscript"/>
        <sz val="8"/>
        <rFont val="Arial"/>
        <family val="2"/>
      </rPr>
      <t>2</t>
    </r>
  </si>
  <si>
    <r>
      <t>pol</t>
    </r>
    <r>
      <rPr>
        <b/>
        <vertAlign val="superscript"/>
        <sz val="8"/>
        <rFont val="Arial"/>
        <family val="2"/>
      </rPr>
      <t>4</t>
    </r>
  </si>
  <si>
    <r>
      <t>pol</t>
    </r>
    <r>
      <rPr>
        <b/>
        <vertAlign val="superscript"/>
        <sz val="8"/>
        <rFont val="Arial"/>
        <family val="2"/>
      </rPr>
      <t>3</t>
    </r>
  </si>
  <si>
    <r>
      <t>cm</t>
    </r>
    <r>
      <rPr>
        <b/>
        <vertAlign val="superscript"/>
        <sz val="8"/>
        <rFont val="Arial"/>
        <family val="2"/>
      </rPr>
      <t>2</t>
    </r>
  </si>
  <si>
    <r>
      <t>cm</t>
    </r>
    <r>
      <rPr>
        <b/>
        <vertAlign val="superscript"/>
        <sz val="8"/>
        <rFont val="Arial"/>
        <family val="2"/>
      </rPr>
      <t>4</t>
    </r>
  </si>
  <si>
    <r>
      <t>cm</t>
    </r>
    <r>
      <rPr>
        <b/>
        <vertAlign val="superscript"/>
        <sz val="8"/>
        <rFont val="Arial"/>
        <family val="2"/>
      </rPr>
      <t>3</t>
    </r>
  </si>
  <si>
    <r>
      <t>w</t>
    </r>
    <r>
      <rPr>
        <b/>
        <vertAlign val="subscript"/>
        <sz val="8"/>
        <color indexed="9"/>
        <rFont val="Arial"/>
        <family val="2"/>
      </rPr>
      <t>2</t>
    </r>
    <r>
      <rPr>
        <b/>
        <sz val="8"/>
        <color indexed="9"/>
        <rFont val="Arial"/>
        <family val="2"/>
      </rPr>
      <t xml:space="preserve"> =</t>
    </r>
  </si>
  <si>
    <t>PESO DO CONTEÚDO DE ÁGUA:</t>
  </si>
  <si>
    <t>Conteúdo água</t>
  </si>
  <si>
    <t>SÉRIE / CLASSE:</t>
  </si>
  <si>
    <t>A-106 Gr.B</t>
  </si>
  <si>
    <r>
      <t>S</t>
    </r>
    <r>
      <rPr>
        <b/>
        <vertAlign val="subscript"/>
        <sz val="8"/>
        <rFont val="Arial"/>
        <family val="2"/>
      </rPr>
      <t>esc</t>
    </r>
  </si>
  <si>
    <r>
      <t>S</t>
    </r>
    <r>
      <rPr>
        <b/>
        <vertAlign val="subscript"/>
        <sz val="8"/>
        <rFont val="Arial"/>
        <family val="2"/>
      </rPr>
      <t>max</t>
    </r>
  </si>
  <si>
    <t>Temperatura (ºF)</t>
  </si>
  <si>
    <t>Material</t>
  </si>
  <si>
    <t>Electric resistance welded pipe</t>
  </si>
  <si>
    <t>Electric fusion welded pipe, double butt, straight or spiral seam</t>
  </si>
  <si>
    <t>Furnace butt welded</t>
  </si>
  <si>
    <t>A-53 Gr.B</t>
  </si>
  <si>
    <t>E</t>
  </si>
  <si>
    <t>Eficiência da solda:</t>
  </si>
  <si>
    <t>E =</t>
  </si>
  <si>
    <t>Costura:</t>
  </si>
  <si>
    <t>Sem costura</t>
  </si>
  <si>
    <t xml:space="preserve"> </t>
  </si>
  <si>
    <t>Material:</t>
  </si>
  <si>
    <t>Espessura:</t>
  </si>
  <si>
    <t>%</t>
  </si>
  <si>
    <t>Tolerâncias de fabricação</t>
  </si>
  <si>
    <t>A-333 Gr.3</t>
  </si>
  <si>
    <t>A-333 Gr.6</t>
  </si>
  <si>
    <t>A-334 Gr.3</t>
  </si>
  <si>
    <t>A-334 Gr.6</t>
  </si>
  <si>
    <t>Notas</t>
  </si>
  <si>
    <t>Espessura da parede</t>
  </si>
  <si>
    <t>Diâmetro externo</t>
  </si>
  <si>
    <t>Máximo</t>
  </si>
  <si>
    <t>Mínimo</t>
  </si>
  <si>
    <r>
      <t xml:space="preserve">Temperatura de proj.  </t>
    </r>
    <r>
      <rPr>
        <sz val="8"/>
        <rFont val="Symbol"/>
        <family val="1"/>
      </rPr>
      <t>£</t>
    </r>
  </si>
  <si>
    <t>Weld joint type S</t>
  </si>
  <si>
    <t>Weld joint type E</t>
  </si>
  <si>
    <t>Weld joint type F</t>
  </si>
  <si>
    <t>A-672 Gr.B60 Cl.22</t>
  </si>
  <si>
    <t>in</t>
  </si>
  <si>
    <t>(100% radiographed)</t>
  </si>
  <si>
    <t>A-312 TP304L</t>
  </si>
  <si>
    <t>A-358 TP304L</t>
  </si>
  <si>
    <t>(36) The specification permits this material to be furnished without solution heat treatment or with other than a solution heat treatment. When the material has not been solution heat treated, the minimum temperature shall be -29ºC (-20ºF) unless the material is impact tested per para. 323.3.</t>
  </si>
  <si>
    <t>Electric fusion welded pipe, single butt seam</t>
  </si>
  <si>
    <t>Electric fusion welded pipe, spot radiographed</t>
  </si>
  <si>
    <t>(Class 2)</t>
  </si>
  <si>
    <t>(Classes 1, 3, 4)</t>
  </si>
  <si>
    <t>(Class 5)</t>
  </si>
  <si>
    <t>A-312 TP316L</t>
  </si>
  <si>
    <t>Electric fusion welded pipe, 100% radiographed</t>
  </si>
  <si>
    <t>A-312 TP304</t>
  </si>
  <si>
    <t>A-312 TP304H</t>
  </si>
  <si>
    <t>(26) This unstabilized grade of stainless steel increasingly tends to precipitate intergranular carbides as the carbon content increases above 0.03%. See also para. F323.4(c)(2).</t>
  </si>
  <si>
    <t>(26) This unstabilized grade of stainless steel increasingly tends to precipitate intergranular carbides as the carbon content increases above 0.03%. See also para. F323.4(c)(2).
(28) For temperatures above 427ºC (800ºF) these stress values apply only when the carbon content is 0.04% or higher.</t>
  </si>
  <si>
    <t>Pressão de projeto =</t>
  </si>
  <si>
    <t>A-312 TP321</t>
  </si>
  <si>
    <t>A-312 TP321H</t>
  </si>
  <si>
    <t>A-790 S31803</t>
  </si>
  <si>
    <t>FERRITIC/AUSTENITIC (DUPLEX) STAINLESS STEEL
(25) This steel may develop embrittlement after service at aproximately 316ºC (600ºF) and higher temperature</t>
  </si>
  <si>
    <t>VERIFICAÇÃO DA ESPESSURA DE PAREDE À PRESSÃO INTERNA CONFORME ASME B31.3:2004</t>
  </si>
  <si>
    <r>
      <t>kgf/cm</t>
    </r>
    <r>
      <rPr>
        <vertAlign val="superscript"/>
        <sz val="8"/>
        <rFont val="Arial"/>
        <family val="2"/>
      </rPr>
      <t>2</t>
    </r>
  </si>
  <si>
    <t>bar</t>
  </si>
  <si>
    <t>MPa</t>
  </si>
  <si>
    <t>kPA</t>
  </si>
  <si>
    <t>psi</t>
  </si>
  <si>
    <t>Categoria do fluido :</t>
  </si>
  <si>
    <t>Temperatura mínima (ºF)</t>
  </si>
  <si>
    <t>A-312 TP316</t>
  </si>
  <si>
    <t>A-312 TP316H</t>
  </si>
  <si>
    <t>A-358 TP304</t>
  </si>
  <si>
    <t>A-358 TP316</t>
  </si>
  <si>
    <t>A-358 TP316L</t>
  </si>
  <si>
    <t>Temperatura mínima do material:</t>
  </si>
  <si>
    <t>ºC   =</t>
  </si>
  <si>
    <t>Corrosão adm. c =</t>
  </si>
  <si>
    <t>ºC        =</t>
  </si>
  <si>
    <t>c =</t>
  </si>
  <si>
    <t>P =</t>
  </si>
  <si>
    <t>Tolerância =</t>
  </si>
  <si>
    <t>Espessura real =</t>
  </si>
  <si>
    <t>Espessura extra =</t>
  </si>
  <si>
    <r>
      <t>t</t>
    </r>
    <r>
      <rPr>
        <b/>
        <vertAlign val="subscript"/>
        <sz val="8"/>
        <color indexed="9"/>
        <rFont val="Arial"/>
        <family val="2"/>
      </rPr>
      <t>n</t>
    </r>
    <r>
      <rPr>
        <b/>
        <sz val="8"/>
        <color indexed="9"/>
        <rFont val="Arial"/>
        <family val="2"/>
      </rPr>
      <t>=</t>
    </r>
  </si>
  <si>
    <r>
      <t>Espessura nominal t</t>
    </r>
    <r>
      <rPr>
        <vertAlign val="subscript"/>
        <sz val="8"/>
        <rFont val="Arial"/>
        <family val="2"/>
      </rPr>
      <t>n</t>
    </r>
    <r>
      <rPr>
        <sz val="8"/>
        <rFont val="Arial"/>
        <family val="2"/>
      </rPr>
      <t xml:space="preserve"> =</t>
    </r>
  </si>
  <si>
    <t>Category D fluid service: a fluid service in which all the following apply:
(1) the fluid handled is nonflammable, nontoxic, and not damaging to human tissues as defined in para. 300.2;
(2) the design gage pressure does not exceed 1035kPA (150 psi); and
(3) the design temperature is from −29°C (−20°F) through 186°C (366°F).</t>
  </si>
  <si>
    <t>Category M fluid service: a fluid service in which the potential for personnel exposure is judged to be significant and in which a single exposure to a very small quantity of a toxic fluid, caused by leakage, can produce serious irreversible harm to persons on breathing or bodily contact, even when prompt restorative measures are taken.</t>
  </si>
  <si>
    <t>Normal fluid service: a fluid service pertaining to most piping covered by this Code, i.e., not subject to the rules for Category D, Category M, or High Pressure Fluid Service.</t>
  </si>
  <si>
    <t>High pressure fluid service: a fluid service for which the owner specifies the use of Chapter IX for piping design and construction; see also para. K300, where high pressure is considered herein to be pressure in excess of that allowed by the ASME B16.5 PN 420 (Class 2500) rating for the specified design temperature and material group.</t>
  </si>
  <si>
    <r>
      <t>t</t>
    </r>
    <r>
      <rPr>
        <vertAlign val="subscript"/>
        <sz val="8"/>
        <rFont val="Arial"/>
        <family val="2"/>
      </rPr>
      <t>m</t>
    </r>
    <r>
      <rPr>
        <sz val="8"/>
        <rFont val="Arial"/>
        <family val="2"/>
      </rPr>
      <t xml:space="preserve"> =</t>
    </r>
  </si>
  <si>
    <t>FS</t>
  </si>
  <si>
    <t>AS</t>
  </si>
  <si>
    <t>ODM</t>
  </si>
  <si>
    <t>(NÃO SE APLICA PARA FLUIDOS COM SERVIÇO CATEGORIA K)</t>
  </si>
  <si>
    <t>O tipo de solda não se aplica a este material</t>
  </si>
  <si>
    <t>Este serviço não é categoria D</t>
  </si>
  <si>
    <t>Tolerância de fabricação (mín.):</t>
  </si>
  <si>
    <t>(26) This unstabilized grade of stainless steel increasingly tends to precipitate intergranular carbides as the carbon content increases above 0.03%. See also para. F323.4(c)(2).
(28) For temperatures above 427ºC (800ºF) these stress values apply only when the carbon content is 0.04% or higher.
(31) For temperatures above 538°C (1000°F), these stress values may be used only if the material has been heat treated by heating to a minimum temperature of 1038°C (1900°F) and quenching in water or rapidly cooling by other means.
(36) The specification permits this material to be furnished without solution heat treatment or with other than a solution heat treatment. When the material has not been solution heat treated, the minimum temperature shall be −29°C (−20°F) unless the material is impact tested per para. 323.3.</t>
  </si>
  <si>
    <t>Page appendix A</t>
  </si>
  <si>
    <t>For minimum temperature see patagraph 323.2.2(b) and the applicable curve in Fig. 323.2.2A of the Code.
(57) Conversion of carbides to graphite may occur after prolongued exposure to temperature over 427ºC (800ºF). See para. F323.4(b)(2).
(59) For temperatures above 482ºC (900ºF), consider the advantages of killed steel. See para. F323.4(b)(4).</t>
  </si>
  <si>
    <t>For minimum temperature see patagraph 323.2.2(b) and the applicable curve in Fig. 323.2.2A of the Code.
(57) Conversion of carbides to graphite may occur after prolongued exposure to temperature over 427ºC (800ºF). See para. F323.4(b)(2).</t>
  </si>
  <si>
    <t>(26) This unstabilized grade of stainless steel increasingly tends to precipitate intergranular carbides as the carbon content increases above 0.03%. See also para. F323.4(c)(2).
(28) For temperatures above 538ºC (1000ºF) these stress values apply only when the carbon content is 0.04% or higher.</t>
  </si>
  <si>
    <t>(26) This unstabilized grade of stainless steel increasingly tends to precipitate intergranular carbides as the carbon content increases above 0.03%. See also para. F323.4(c)(2).
(28) For temperatures above 538ºC (1000ºF) these stress values apply only when the carbon content is 0.04% or higher.
(31) For temperatures above 538°C (1000°F), these stress values may be used only if the material has been heat treated by heating to a minimum temperature of 1038°C (1900°F) and quenching in water or rapidly cooling by other means.
(36) The specification permits this material to be furnished without solution heat treatment or with other than a solution heat treatment. When the material has not been solution heat treated, the minimum temperature shall be −29°C (−20°F) unless the material is impact tested per para. 323.3.</t>
  </si>
  <si>
    <t>(30) For temperatures above 538ºC (1000ºF), these stress values may be used only if the material has been treated at temperature of 1093ºC (2000ºF) minimum.</t>
  </si>
  <si>
    <t xml:space="preserve"> (36) The specification permits this material to be furnished without solution heat treatment or with other than a solution heat treatment. When the material has not been solution heat treated, the minimum temperature shall be −29°C (−20°F) unless the material is impact tested per para. 323.3.</t>
  </si>
  <si>
    <t>(57) Conversion of carbides to graphite may occur after prolonged exposure to temperatures over 427°C (800°F). See para. F323.4(b)(2).</t>
  </si>
  <si>
    <t>For minimum temperature see patagraph 323.2.2(b) and the applicable curve in Fig. 323.2.2A of the Code.
(57) Conversion of carbides to graphite may occur after prolonged exposure to temperatures over 427°C (800°F). See para. F323.4(b)(2).
(67) For use under this Code, the heat treatment requirements for pipe manufactured to A-671, A-672, and A-691 shall be as required by para. 331 for the particular material being used.</t>
  </si>
  <si>
    <t>For minimum temperature see patagraph 323.2.2(b) and the applicable curve in Fig. 323.2.2A of the Code.
(57) Conversion of carbides to graphite may occur after prolonged exposure to temperatures over 427°C (800°F). See para. F323.4(b)(2).
(59) For temperatures above 482ºC (900ºF), consider the advantages of killed steel. See para. F323.4(b)(4).
(77) [Table with CSA (Canadian Standards Association) equivalences]</t>
  </si>
  <si>
    <t>Tabela
coeficiente Y</t>
  </si>
  <si>
    <t>B-619 N10276</t>
  </si>
  <si>
    <t>(76) Hydrostatic testing is an option (not required) in this specification. For use under this Code, hydrostatic testing is required.</t>
  </si>
  <si>
    <t>SIZE RANGE &gt; 5" O.D.
(76) Hydrostatic testing is an option (not required) in this specification. For use under this Code, hydrostatic testing is required.</t>
  </si>
  <si>
    <r>
      <t>B-165 N04400 (</t>
    </r>
    <r>
      <rPr>
        <sz val="8"/>
        <rFont val="Arial"/>
        <family val="0"/>
      </rPr>
      <t>≤</t>
    </r>
    <r>
      <rPr>
        <sz val="8"/>
        <rFont val="Arial"/>
        <family val="2"/>
      </rPr>
      <t>5"O.D.)</t>
    </r>
  </si>
  <si>
    <r>
      <t>B-165 N04400 (</t>
    </r>
    <r>
      <rPr>
        <sz val="8"/>
        <rFont val="Arial"/>
        <family val="0"/>
      </rPr>
      <t>&gt;</t>
    </r>
    <r>
      <rPr>
        <sz val="8"/>
        <rFont val="Arial"/>
        <family val="2"/>
      </rPr>
      <t>5"O.D.)</t>
    </r>
  </si>
  <si>
    <r>
      <t xml:space="preserve">SIZE RANGE </t>
    </r>
    <r>
      <rPr>
        <sz val="6"/>
        <rFont val="Arial"/>
        <family val="0"/>
      </rPr>
      <t>≤</t>
    </r>
    <r>
      <rPr>
        <sz val="6"/>
        <rFont val="Arial"/>
        <family val="2"/>
      </rPr>
      <t xml:space="preserve"> 5" O.D.
(76) Hydrostatic testing is an option (not required) in this specification. For use under this Code, hydrostatic testing is required.</t>
    </r>
  </si>
  <si>
    <t>SIZE RANGE &gt; 5" O.D.</t>
  </si>
  <si>
    <r>
      <t>B-167 N06600 (</t>
    </r>
    <r>
      <rPr>
        <sz val="8"/>
        <rFont val="Arial"/>
        <family val="0"/>
      </rPr>
      <t>≤</t>
    </r>
    <r>
      <rPr>
        <sz val="8"/>
        <rFont val="Arial"/>
        <family val="2"/>
      </rPr>
      <t>5"O.D.)</t>
    </r>
  </si>
  <si>
    <r>
      <t>B-167 N06600 (&gt;</t>
    </r>
    <r>
      <rPr>
        <sz val="8"/>
        <rFont val="Arial"/>
        <family val="2"/>
      </rPr>
      <t>5"O.D.)</t>
    </r>
  </si>
  <si>
    <r>
      <t xml:space="preserve">SIZE RANGE </t>
    </r>
    <r>
      <rPr>
        <sz val="6"/>
        <rFont val="Arial"/>
        <family val="0"/>
      </rPr>
      <t>≤</t>
    </r>
    <r>
      <rPr>
        <sz val="6"/>
        <rFont val="Arial"/>
        <family val="2"/>
      </rPr>
      <t xml:space="preserve"> 5" O.D.</t>
    </r>
  </si>
  <si>
    <t>API 5L Gr.B (&lt;20"NPS)</t>
  </si>
  <si>
    <r>
      <t>API 5L Gr.B (</t>
    </r>
    <r>
      <rPr>
        <sz val="8"/>
        <rFont val="Arial"/>
        <family val="0"/>
      </rPr>
      <t>≥</t>
    </r>
    <r>
      <rPr>
        <sz val="8"/>
        <rFont val="Arial"/>
        <family val="2"/>
      </rPr>
      <t>20"NPS)</t>
    </r>
  </si>
  <si>
    <t>TUBOS DE AÇO COM E SEM COSTURA FABRICADOS CONFORME ASME B36.10, ASME B36.19 E MERCOSUL NM 210</t>
  </si>
  <si>
    <r>
      <t xml:space="preserve">HoG - </t>
    </r>
    <r>
      <rPr>
        <b/>
        <i/>
        <sz val="12"/>
        <color indexed="17"/>
        <rFont val="Arial"/>
        <family val="2"/>
      </rPr>
      <t>Instalações Industriais</t>
    </r>
  </si>
</sst>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0"/>
    <numFmt numFmtId="180" formatCode="0.000000"/>
    <numFmt numFmtId="181" formatCode="0.0000"/>
    <numFmt numFmtId="182" formatCode="0.000000E+00"/>
    <numFmt numFmtId="183" formatCode="#,##0.000"/>
    <numFmt numFmtId="184" formatCode="#,##0.0000"/>
    <numFmt numFmtId="185" formatCode="#\ ?/?&quot;''&quot;"/>
    <numFmt numFmtId="186" formatCode="0.0\ &quot;mm&quot;"/>
    <numFmt numFmtId="187" formatCode="#\ ?/?&quot;pol&quot;"/>
    <numFmt numFmtId="188" formatCode="#\ ?/?\ &quot;pol&quot;"/>
    <numFmt numFmtId="189" formatCode="0.00\ &quot;pol&quot;"/>
    <numFmt numFmtId="190" formatCode="0.0\ &quot;mm²&quot;"/>
    <numFmt numFmtId="191" formatCode="0.00\ &quot;pol²&quot;"/>
    <numFmt numFmtId="192" formatCode="0.0\ &quot;Kg/m&quot;"/>
    <numFmt numFmtId="193" formatCode="0.00\ &quot;lb/pé&quot;"/>
    <numFmt numFmtId="194" formatCode="0.0\ &quot;cm²&quot;"/>
    <numFmt numFmtId="195" formatCode="0.0\ &quot;cm4&quot;"/>
    <numFmt numFmtId="196" formatCode="0.0\ &quot;cm³&quot;"/>
    <numFmt numFmtId="197" formatCode="0.00\ &quot;pol4&quot;"/>
    <numFmt numFmtId="198" formatCode="0.00\ &quot;pol³&quot;"/>
    <numFmt numFmtId="199" formatCode="0.0\ &quot;cm&quot;"/>
    <numFmt numFmtId="200" formatCode="0.00\ &quot;cm&quot;"/>
    <numFmt numFmtId="201" formatCode="_(* #,##0.0_);_(* \(#,##0.0\);_(* &quot;-&quot;??_);_(@_)"/>
    <numFmt numFmtId="202" formatCode="_(* #,##0_);_(* \(#,##0\);_(* &quot;-&quot;??_);_(@_)"/>
    <numFmt numFmtId="203" formatCode="_(* #,##0.000_);_(* \(#,##0.000\);_(* &quot;-&quot;??_);_(@_)"/>
    <numFmt numFmtId="204" formatCode="_(* #,##0.0000_);_(* \(#,##0.0000\);_(* &quot;-&quot;??_);_(@_)"/>
    <numFmt numFmtId="205" formatCode="#,##0.00000"/>
    <numFmt numFmtId="206" formatCode="General&quot;%&quot;"/>
    <numFmt numFmtId="207" formatCode="General&quot;ºF&quot;"/>
    <numFmt numFmtId="208" formatCode="General&quot; ºF&quot;"/>
    <numFmt numFmtId="209" formatCode="General&quot;  ºF&quot;"/>
    <numFmt numFmtId="210" formatCode="#,##0.0"/>
    <numFmt numFmtId="211" formatCode="0&quot;ºF&quot;"/>
    <numFmt numFmtId="212" formatCode="0&quot; ºF&quot;"/>
    <numFmt numFmtId="213" formatCode="0&quot;  ºF&quot;"/>
    <numFmt numFmtId="214" formatCode="0.00\ &quot;mm&quot;"/>
    <numFmt numFmtId="215" formatCode="0.000\ &quot;pol&quot;"/>
    <numFmt numFmtId="216" formatCode="&quot;Sim&quot;;&quot;Sim&quot;;&quot;Não&quot;"/>
    <numFmt numFmtId="217" formatCode="&quot;Verdadeiro&quot;;&quot;Verdadeiro&quot;;&quot;Falso&quot;"/>
    <numFmt numFmtId="218" formatCode="&quot;Ativar&quot;;&quot;Ativar&quot;;&quot;Desativar&quot;"/>
    <numFmt numFmtId="219" formatCode="[$€-2]\ #,##0.00_);[Red]\([$€-2]\ #,##0.00\)"/>
  </numFmts>
  <fonts count="55">
    <font>
      <sz val="10"/>
      <name val="Arial"/>
      <family val="0"/>
    </font>
    <font>
      <sz val="8"/>
      <name val="Arial"/>
      <family val="2"/>
    </font>
    <font>
      <b/>
      <sz val="10"/>
      <name val="Arial"/>
      <family val="2"/>
    </font>
    <font>
      <b/>
      <sz val="8"/>
      <name val="Arial"/>
      <family val="2"/>
    </font>
    <font>
      <b/>
      <sz val="8"/>
      <color indexed="9"/>
      <name val="Arial"/>
      <family val="2"/>
    </font>
    <font>
      <b/>
      <vertAlign val="subscript"/>
      <sz val="8"/>
      <color indexed="9"/>
      <name val="Arial"/>
      <family val="2"/>
    </font>
    <font>
      <b/>
      <vertAlign val="subscript"/>
      <sz val="8"/>
      <name val="Arial"/>
      <family val="2"/>
    </font>
    <font>
      <b/>
      <vertAlign val="superscript"/>
      <sz val="8"/>
      <name val="Arial"/>
      <family val="2"/>
    </font>
    <font>
      <b/>
      <sz val="12"/>
      <name val="Arial"/>
      <family val="2"/>
    </font>
    <font>
      <sz val="8"/>
      <name val="Tahoma"/>
      <family val="0"/>
    </font>
    <font>
      <sz val="6"/>
      <name val="Arial"/>
      <family val="2"/>
    </font>
    <font>
      <sz val="8"/>
      <name val="Symbol"/>
      <family val="1"/>
    </font>
    <font>
      <sz val="5"/>
      <name val="Arial"/>
      <family val="2"/>
    </font>
    <font>
      <b/>
      <u val="single"/>
      <sz val="8"/>
      <name val="Arial"/>
      <family val="2"/>
    </font>
    <font>
      <vertAlign val="superscript"/>
      <sz val="8"/>
      <name val="Arial"/>
      <family val="2"/>
    </font>
    <font>
      <vertAlign val="subscript"/>
      <sz val="8"/>
      <name val="Arial"/>
      <family val="2"/>
    </font>
    <font>
      <b/>
      <sz val="6"/>
      <name val="Arial"/>
      <family val="2"/>
    </font>
    <font>
      <b/>
      <sz val="7"/>
      <name val="Arial"/>
      <family val="2"/>
    </font>
    <font>
      <b/>
      <i/>
      <sz val="14"/>
      <color indexed="17"/>
      <name val="Arial"/>
      <family val="2"/>
    </font>
    <font>
      <b/>
      <i/>
      <sz val="12"/>
      <color indexed="17"/>
      <name val="Arial"/>
      <family val="2"/>
    </font>
    <font>
      <b/>
      <i/>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style="thin"/>
      <right style="dotted"/>
      <top style="thin"/>
      <bottom style="thin"/>
    </border>
    <border>
      <left style="dotted"/>
      <right style="dotted"/>
      <top style="thin"/>
      <bottom style="thin"/>
    </border>
    <border>
      <left style="dotted"/>
      <right style="thin"/>
      <top>
        <color indexed="63"/>
      </top>
      <bottom style="thin"/>
    </border>
    <border>
      <left style="thin"/>
      <right style="dotted"/>
      <top>
        <color indexed="63"/>
      </top>
      <bottom style="thin"/>
    </border>
    <border>
      <left style="dotted"/>
      <right style="dotted"/>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style="thin"/>
      <right style="dotted"/>
      <top>
        <color indexed="63"/>
      </top>
      <bottom style="double"/>
    </border>
    <border>
      <left style="dotted"/>
      <right style="dotted"/>
      <top>
        <color indexed="63"/>
      </top>
      <bottom style="double"/>
    </border>
    <border>
      <left>
        <color indexed="63"/>
      </left>
      <right style="dotted"/>
      <top>
        <color indexed="63"/>
      </top>
      <bottom style="thin"/>
    </border>
    <border>
      <left>
        <color indexed="63"/>
      </left>
      <right style="dotted"/>
      <top style="thin"/>
      <bottom style="thin"/>
    </border>
    <border>
      <left style="dotted"/>
      <right>
        <color indexed="63"/>
      </right>
      <top>
        <color indexed="63"/>
      </top>
      <bottom style="thin"/>
    </border>
    <border>
      <left style="dotted"/>
      <right>
        <color indexed="63"/>
      </right>
      <top style="thin"/>
      <bottom style="thin"/>
    </border>
    <border>
      <left style="dotted"/>
      <right>
        <color indexed="63"/>
      </right>
      <top style="double"/>
      <bottom style="thin"/>
    </border>
    <border>
      <left style="thin"/>
      <right>
        <color indexed="63"/>
      </right>
      <top style="double"/>
      <bottom style="thin"/>
    </border>
    <border>
      <left>
        <color indexed="63"/>
      </left>
      <right style="dotted"/>
      <top style="double"/>
      <bottom style="thin"/>
    </border>
    <border>
      <left>
        <color indexed="63"/>
      </left>
      <right>
        <color indexed="63"/>
      </right>
      <top style="double"/>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dotted"/>
      <right>
        <color indexed="63"/>
      </right>
      <top>
        <color indexed="63"/>
      </top>
      <bottom style="double"/>
    </border>
    <border>
      <left style="thick">
        <color indexed="57"/>
      </left>
      <right>
        <color indexed="63"/>
      </right>
      <top>
        <color indexed="63"/>
      </top>
      <bottom>
        <color indexed="63"/>
      </bottom>
    </border>
    <border>
      <left style="thick">
        <color indexed="57"/>
      </left>
      <right>
        <color indexed="63"/>
      </right>
      <top style="thick">
        <color indexed="57"/>
      </top>
      <bottom>
        <color indexed="63"/>
      </bottom>
    </border>
    <border>
      <left>
        <color indexed="63"/>
      </left>
      <right>
        <color indexed="63"/>
      </right>
      <top style="thick">
        <color indexed="57"/>
      </top>
      <bottom>
        <color indexed="63"/>
      </bottom>
    </border>
    <border>
      <left>
        <color indexed="63"/>
      </left>
      <right style="thick">
        <color indexed="57"/>
      </right>
      <top style="thick">
        <color indexed="57"/>
      </top>
      <bottom>
        <color indexed="63"/>
      </bottom>
    </border>
    <border>
      <left style="thick">
        <color indexed="57"/>
      </left>
      <right>
        <color indexed="63"/>
      </right>
      <top>
        <color indexed="63"/>
      </top>
      <bottom style="thick">
        <color indexed="57"/>
      </bottom>
    </border>
    <border>
      <left>
        <color indexed="63"/>
      </left>
      <right>
        <color indexed="63"/>
      </right>
      <top>
        <color indexed="63"/>
      </top>
      <bottom style="thick">
        <color indexed="57"/>
      </bottom>
    </border>
    <border>
      <left>
        <color indexed="63"/>
      </left>
      <right style="thick">
        <color indexed="57"/>
      </right>
      <top>
        <color indexed="63"/>
      </top>
      <bottom style="thick">
        <color indexed="57"/>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tted"/>
      <right style="dotted"/>
      <top style="thin"/>
      <bottom>
        <color indexed="63"/>
      </bottom>
    </border>
    <border>
      <left style="dotted"/>
      <right style="dotted"/>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uble"/>
    </border>
    <border>
      <left style="dotted"/>
      <right style="thin"/>
      <top style="thin"/>
      <bottom>
        <color indexed="63"/>
      </bottom>
    </border>
    <border>
      <left style="dotted"/>
      <right style="thin"/>
      <top>
        <color indexed="63"/>
      </top>
      <bottom>
        <color indexed="63"/>
      </bottom>
    </border>
    <border>
      <left style="dotted"/>
      <right style="thin"/>
      <top>
        <color indexed="63"/>
      </top>
      <bottom style="double"/>
    </border>
    <border>
      <left style="thin"/>
      <right style="dotted"/>
      <top style="thin"/>
      <bottom>
        <color indexed="63"/>
      </bottom>
    </border>
    <border>
      <left style="thin"/>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328">
    <xf numFmtId="0" fontId="0" fillId="0" borderId="0" xfId="0" applyAlignment="1">
      <alignment/>
    </xf>
    <xf numFmtId="0" fontId="1" fillId="33" borderId="0" xfId="0" applyFont="1" applyFill="1" applyAlignment="1" applyProtection="1">
      <alignment horizontal="center"/>
      <protection hidden="1"/>
    </xf>
    <xf numFmtId="12" fontId="1" fillId="33" borderId="0" xfId="0" applyNumberFormat="1" applyFont="1" applyFill="1" applyAlignment="1" applyProtection="1">
      <alignment horizontal="center"/>
      <protection hidden="1"/>
    </xf>
    <xf numFmtId="0" fontId="1" fillId="33" borderId="0" xfId="0" applyFont="1" applyFill="1" applyAlignment="1" applyProtection="1">
      <alignment/>
      <protection hidden="1"/>
    </xf>
    <xf numFmtId="49" fontId="1" fillId="33" borderId="0" xfId="0" applyNumberFormat="1" applyFont="1" applyFill="1" applyAlignment="1" applyProtection="1">
      <alignment horizontal="center"/>
      <protection hidden="1"/>
    </xf>
    <xf numFmtId="49"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49" fontId="2" fillId="33" borderId="0" xfId="0" applyNumberFormat="1" applyFont="1" applyFill="1" applyAlignment="1" applyProtection="1">
      <alignment horizontal="center"/>
      <protection hidden="1"/>
    </xf>
    <xf numFmtId="0" fontId="3" fillId="33" borderId="0" xfId="0" applyFont="1" applyFill="1" applyAlignment="1" applyProtection="1">
      <alignment/>
      <protection hidden="1"/>
    </xf>
    <xf numFmtId="194" fontId="1" fillId="33" borderId="0" xfId="0" applyNumberFormat="1" applyFont="1" applyFill="1" applyAlignment="1" applyProtection="1">
      <alignment horizontal="center"/>
      <protection hidden="1"/>
    </xf>
    <xf numFmtId="191" fontId="1" fillId="33" borderId="0" xfId="0" applyNumberFormat="1" applyFont="1" applyFill="1" applyAlignment="1" applyProtection="1">
      <alignment horizontal="center"/>
      <protection hidden="1"/>
    </xf>
    <xf numFmtId="189" fontId="1" fillId="33" borderId="0" xfId="0" applyNumberFormat="1" applyFont="1" applyFill="1" applyAlignment="1" applyProtection="1">
      <alignment horizontal="center"/>
      <protection hidden="1"/>
    </xf>
    <xf numFmtId="193" fontId="1" fillId="33" borderId="0" xfId="0" applyNumberFormat="1" applyFont="1" applyFill="1" applyAlignment="1" applyProtection="1">
      <alignment horizontal="center"/>
      <protection hidden="1"/>
    </xf>
    <xf numFmtId="186" fontId="1" fillId="33" borderId="0" xfId="0" applyNumberFormat="1" applyFont="1" applyFill="1" applyAlignment="1" applyProtection="1">
      <alignment horizontal="center"/>
      <protection hidden="1"/>
    </xf>
    <xf numFmtId="0" fontId="1" fillId="33" borderId="0" xfId="0" applyFont="1" applyFill="1" applyAlignment="1" applyProtection="1">
      <alignment horizontal="right"/>
      <protection hidden="1"/>
    </xf>
    <xf numFmtId="0" fontId="1" fillId="0" borderId="0" xfId="0" applyFont="1" applyFill="1" applyAlignment="1">
      <alignment horizontal="center"/>
    </xf>
    <xf numFmtId="192" fontId="1" fillId="33" borderId="0" xfId="0" applyNumberFormat="1" applyFont="1" applyFill="1" applyAlignment="1" applyProtection="1">
      <alignment horizontal="center"/>
      <protection hidden="1"/>
    </xf>
    <xf numFmtId="197" fontId="1" fillId="33" borderId="0" xfId="0" applyNumberFormat="1" applyFont="1" applyFill="1" applyAlignment="1" applyProtection="1">
      <alignment horizontal="center"/>
      <protection hidden="1"/>
    </xf>
    <xf numFmtId="195" fontId="1" fillId="33" borderId="0" xfId="0" applyNumberFormat="1" applyFont="1" applyFill="1" applyAlignment="1" applyProtection="1">
      <alignment horizontal="center"/>
      <protection hidden="1"/>
    </xf>
    <xf numFmtId="198" fontId="1" fillId="33" borderId="0" xfId="0" applyNumberFormat="1" applyFont="1" applyFill="1" applyAlignment="1" applyProtection="1">
      <alignment horizontal="center"/>
      <protection hidden="1"/>
    </xf>
    <xf numFmtId="196" fontId="1" fillId="33" borderId="0" xfId="0" applyNumberFormat="1" applyFont="1" applyFill="1" applyAlignment="1" applyProtection="1">
      <alignment horizontal="center"/>
      <protection hidden="1"/>
    </xf>
    <xf numFmtId="0" fontId="1" fillId="0" borderId="0" xfId="0" applyFont="1" applyAlignment="1" applyProtection="1">
      <alignment/>
      <protection hidden="1"/>
    </xf>
    <xf numFmtId="12" fontId="1" fillId="0" borderId="0" xfId="0" applyNumberFormat="1" applyFont="1" applyAlignment="1" applyProtection="1">
      <alignment horizontal="center"/>
      <protection hidden="1"/>
    </xf>
    <xf numFmtId="1" fontId="1" fillId="0" borderId="0" xfId="0" applyNumberFormat="1" applyFont="1" applyFill="1" applyAlignment="1">
      <alignment horizontal="center"/>
    </xf>
    <xf numFmtId="12" fontId="1" fillId="0" borderId="10" xfId="0" applyNumberFormat="1" applyFont="1" applyFill="1" applyBorder="1" applyAlignment="1">
      <alignment horizontal="center"/>
    </xf>
    <xf numFmtId="0" fontId="1" fillId="0" borderId="10" xfId="0" applyFont="1" applyFill="1" applyBorder="1" applyAlignment="1">
      <alignment horizontal="center"/>
    </xf>
    <xf numFmtId="178" fontId="1"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179" fontId="1" fillId="0" borderId="10" xfId="0" applyNumberFormat="1" applyFont="1" applyFill="1" applyBorder="1" applyAlignment="1">
      <alignment horizontal="center"/>
    </xf>
    <xf numFmtId="0" fontId="1" fillId="0" borderId="0" xfId="0" applyFont="1" applyFill="1" applyAlignment="1">
      <alignment/>
    </xf>
    <xf numFmtId="12" fontId="4" fillId="34" borderId="11" xfId="0" applyNumberFormat="1" applyFont="1" applyFill="1" applyBorder="1" applyAlignment="1" applyProtection="1">
      <alignment horizontal="left"/>
      <protection hidden="1"/>
    </xf>
    <xf numFmtId="0" fontId="4" fillId="34" borderId="12" xfId="0" applyFont="1" applyFill="1" applyBorder="1" applyAlignment="1" applyProtection="1">
      <alignment/>
      <protection hidden="1"/>
    </xf>
    <xf numFmtId="0" fontId="4" fillId="34" borderId="13" xfId="0" applyFont="1" applyFill="1" applyBorder="1" applyAlignment="1" applyProtection="1">
      <alignment/>
      <protection hidden="1"/>
    </xf>
    <xf numFmtId="0" fontId="4" fillId="34" borderId="14" xfId="0" applyFont="1" applyFill="1" applyBorder="1" applyAlignment="1" applyProtection="1">
      <alignment horizontal="center"/>
      <protection hidden="1"/>
    </xf>
    <xf numFmtId="0" fontId="4" fillId="34" borderId="15" xfId="0" applyFont="1" applyFill="1" applyBorder="1" applyAlignment="1" applyProtection="1">
      <alignment horizontal="right"/>
      <protection hidden="1"/>
    </xf>
    <xf numFmtId="186" fontId="4" fillId="34" borderId="15" xfId="0" applyNumberFormat="1" applyFont="1" applyFill="1" applyBorder="1" applyAlignment="1" applyProtection="1">
      <alignment horizontal="center"/>
      <protection hidden="1"/>
    </xf>
    <xf numFmtId="0" fontId="4" fillId="34" borderId="15" xfId="0" applyFont="1" applyFill="1" applyBorder="1" applyAlignment="1" applyProtection="1">
      <alignment horizontal="center"/>
      <protection hidden="1"/>
    </xf>
    <xf numFmtId="189" fontId="4" fillId="34" borderId="16" xfId="0" applyNumberFormat="1" applyFont="1" applyFill="1" applyBorder="1" applyAlignment="1" applyProtection="1">
      <alignment horizontal="center"/>
      <protection hidden="1"/>
    </xf>
    <xf numFmtId="0" fontId="4" fillId="34" borderId="11" xfId="0" applyFont="1" applyFill="1" applyBorder="1" applyAlignment="1" applyProtection="1">
      <alignment horizontal="left"/>
      <protection hidden="1"/>
    </xf>
    <xf numFmtId="0" fontId="4" fillId="34" borderId="12" xfId="0" applyFont="1" applyFill="1" applyBorder="1" applyAlignment="1" applyProtection="1">
      <alignment horizontal="center"/>
      <protection hidden="1"/>
    </xf>
    <xf numFmtId="186" fontId="4" fillId="34" borderId="12" xfId="0" applyNumberFormat="1" applyFont="1" applyFill="1" applyBorder="1" applyAlignment="1" applyProtection="1">
      <alignment horizontal="center"/>
      <protection hidden="1"/>
    </xf>
    <xf numFmtId="189" fontId="4" fillId="34" borderId="13" xfId="0" applyNumberFormat="1" applyFont="1" applyFill="1" applyBorder="1" applyAlignment="1" applyProtection="1">
      <alignment horizontal="center"/>
      <protection hidden="1"/>
    </xf>
    <xf numFmtId="12" fontId="4" fillId="34" borderId="15" xfId="0" applyNumberFormat="1" applyFont="1" applyFill="1" applyBorder="1" applyAlignment="1" applyProtection="1">
      <alignment horizontal="right"/>
      <protection hidden="1"/>
    </xf>
    <xf numFmtId="12" fontId="4" fillId="34" borderId="12" xfId="0" applyNumberFormat="1" applyFont="1" applyFill="1" applyBorder="1" applyAlignment="1" applyProtection="1">
      <alignment horizontal="center"/>
      <protection hidden="1"/>
    </xf>
    <xf numFmtId="0" fontId="4" fillId="34" borderId="11" xfId="0" applyFont="1" applyFill="1" applyBorder="1" applyAlignment="1" applyProtection="1">
      <alignment/>
      <protection hidden="1"/>
    </xf>
    <xf numFmtId="49" fontId="4" fillId="34" borderId="12" xfId="0" applyNumberFormat="1" applyFont="1" applyFill="1" applyBorder="1" applyAlignment="1" applyProtection="1">
      <alignment horizontal="center"/>
      <protection hidden="1"/>
    </xf>
    <xf numFmtId="49" fontId="4" fillId="34" borderId="13" xfId="0" applyNumberFormat="1" applyFont="1" applyFill="1" applyBorder="1" applyAlignment="1" applyProtection="1">
      <alignment horizontal="center"/>
      <protection hidden="1"/>
    </xf>
    <xf numFmtId="194" fontId="4" fillId="34" borderId="15" xfId="0" applyNumberFormat="1" applyFont="1" applyFill="1" applyBorder="1" applyAlignment="1" applyProtection="1">
      <alignment horizontal="center"/>
      <protection hidden="1"/>
    </xf>
    <xf numFmtId="191" fontId="4" fillId="34" borderId="16" xfId="0" applyNumberFormat="1" applyFont="1" applyFill="1" applyBorder="1" applyAlignment="1" applyProtection="1">
      <alignment horizontal="center"/>
      <protection hidden="1"/>
    </xf>
    <xf numFmtId="194" fontId="4" fillId="34" borderId="12" xfId="0" applyNumberFormat="1" applyFont="1" applyFill="1" applyBorder="1" applyAlignment="1" applyProtection="1">
      <alignment horizontal="center"/>
      <protection hidden="1"/>
    </xf>
    <xf numFmtId="191" fontId="4" fillId="34" borderId="13" xfId="0" applyNumberFormat="1" applyFont="1" applyFill="1" applyBorder="1" applyAlignment="1" applyProtection="1">
      <alignment horizontal="center"/>
      <protection hidden="1"/>
    </xf>
    <xf numFmtId="192" fontId="4" fillId="34" borderId="15" xfId="0" applyNumberFormat="1" applyFont="1" applyFill="1" applyBorder="1" applyAlignment="1" applyProtection="1">
      <alignment horizontal="center"/>
      <protection hidden="1"/>
    </xf>
    <xf numFmtId="193" fontId="4" fillId="34" borderId="16" xfId="0" applyNumberFormat="1" applyFont="1" applyFill="1" applyBorder="1" applyAlignment="1" applyProtection="1">
      <alignment horizontal="center"/>
      <protection hidden="1"/>
    </xf>
    <xf numFmtId="0" fontId="4" fillId="34" borderId="12" xfId="0" applyFont="1" applyFill="1" applyBorder="1" applyAlignment="1" applyProtection="1">
      <alignment horizontal="right"/>
      <protection hidden="1"/>
    </xf>
    <xf numFmtId="192" fontId="4" fillId="34" borderId="12" xfId="0" applyNumberFormat="1" applyFont="1" applyFill="1" applyBorder="1" applyAlignment="1" applyProtection="1">
      <alignment horizontal="center"/>
      <protection hidden="1"/>
    </xf>
    <xf numFmtId="193" fontId="4" fillId="34" borderId="13" xfId="0" applyNumberFormat="1" applyFont="1" applyFill="1" applyBorder="1" applyAlignment="1" applyProtection="1">
      <alignment horizontal="center"/>
      <protection hidden="1"/>
    </xf>
    <xf numFmtId="195" fontId="4" fillId="34" borderId="15" xfId="0" applyNumberFormat="1" applyFont="1" applyFill="1" applyBorder="1" applyAlignment="1" applyProtection="1">
      <alignment horizontal="center"/>
      <protection hidden="1"/>
    </xf>
    <xf numFmtId="197" fontId="4" fillId="34" borderId="16" xfId="0" applyNumberFormat="1" applyFont="1" applyFill="1" applyBorder="1" applyAlignment="1" applyProtection="1">
      <alignment horizontal="center"/>
      <protection hidden="1"/>
    </xf>
    <xf numFmtId="195" fontId="4" fillId="34" borderId="12" xfId="0" applyNumberFormat="1" applyFont="1" applyFill="1" applyBorder="1" applyAlignment="1" applyProtection="1">
      <alignment horizontal="center"/>
      <protection hidden="1"/>
    </xf>
    <xf numFmtId="0" fontId="1" fillId="0" borderId="17" xfId="0" applyFont="1" applyFill="1" applyBorder="1" applyAlignment="1">
      <alignment horizontal="center"/>
    </xf>
    <xf numFmtId="197" fontId="4" fillId="34" borderId="13" xfId="0" applyNumberFormat="1" applyFont="1" applyFill="1" applyBorder="1" applyAlignment="1" applyProtection="1">
      <alignment horizontal="center"/>
      <protection hidden="1"/>
    </xf>
    <xf numFmtId="196" fontId="4" fillId="34" borderId="15" xfId="0" applyNumberFormat="1" applyFont="1" applyFill="1" applyBorder="1" applyAlignment="1" applyProtection="1">
      <alignment horizontal="center"/>
      <protection hidden="1"/>
    </xf>
    <xf numFmtId="198" fontId="4" fillId="34" borderId="16" xfId="0" applyNumberFormat="1" applyFont="1" applyFill="1" applyBorder="1" applyAlignment="1" applyProtection="1">
      <alignment horizontal="center"/>
      <protection hidden="1"/>
    </xf>
    <xf numFmtId="196" fontId="4" fillId="34" borderId="12" xfId="0" applyNumberFormat="1" applyFont="1" applyFill="1" applyBorder="1" applyAlignment="1" applyProtection="1">
      <alignment horizontal="center"/>
      <protection hidden="1"/>
    </xf>
    <xf numFmtId="198" fontId="4" fillId="34" borderId="13" xfId="0" applyNumberFormat="1" applyFont="1" applyFill="1" applyBorder="1" applyAlignment="1" applyProtection="1">
      <alignment horizontal="center"/>
      <protection hidden="1"/>
    </xf>
    <xf numFmtId="200" fontId="4" fillId="34" borderId="15" xfId="0" applyNumberFormat="1" applyFont="1" applyFill="1" applyBorder="1" applyAlignment="1" applyProtection="1">
      <alignment horizontal="center"/>
      <protection hidden="1"/>
    </xf>
    <xf numFmtId="49" fontId="1" fillId="0" borderId="0" xfId="0" applyNumberFormat="1" applyFont="1" applyFill="1" applyAlignment="1">
      <alignment horizontal="center"/>
    </xf>
    <xf numFmtId="0" fontId="1" fillId="0" borderId="0" xfId="0" applyFont="1" applyFill="1" applyAlignment="1" applyProtection="1">
      <alignment horizontal="center"/>
      <protection hidden="1"/>
    </xf>
    <xf numFmtId="12" fontId="1" fillId="0" borderId="0" xfId="0" applyNumberFormat="1" applyFont="1" applyFill="1" applyAlignment="1" applyProtection="1">
      <alignment horizontal="center"/>
      <protection hidden="1"/>
    </xf>
    <xf numFmtId="0" fontId="1" fillId="0" borderId="0" xfId="0" applyFont="1" applyFill="1" applyAlignment="1" applyProtection="1">
      <alignment/>
      <protection hidden="1"/>
    </xf>
    <xf numFmtId="49" fontId="1" fillId="0" borderId="0" xfId="0" applyNumberFormat="1" applyFont="1" applyFill="1" applyAlignment="1" applyProtection="1">
      <alignment horizontal="center"/>
      <protection hidden="1"/>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12" fontId="1" fillId="0" borderId="17" xfId="0" applyNumberFormat="1" applyFont="1" applyFill="1" applyBorder="1" applyAlignment="1">
      <alignment horizontal="center"/>
    </xf>
    <xf numFmtId="179" fontId="1" fillId="0" borderId="17" xfId="0" applyNumberFormat="1" applyFont="1" applyFill="1" applyBorder="1" applyAlignment="1">
      <alignment horizontal="center"/>
    </xf>
    <xf numFmtId="2" fontId="1" fillId="0" borderId="17" xfId="0" applyNumberFormat="1" applyFont="1" applyFill="1" applyBorder="1" applyAlignment="1">
      <alignment horizontal="center"/>
    </xf>
    <xf numFmtId="178" fontId="1" fillId="0" borderId="17" xfId="0" applyNumberFormat="1" applyFont="1" applyFill="1" applyBorder="1" applyAlignment="1">
      <alignment horizontal="center"/>
    </xf>
    <xf numFmtId="4" fontId="1" fillId="0" borderId="17" xfId="0" applyNumberFormat="1" applyFont="1" applyFill="1" applyBorder="1" applyAlignment="1">
      <alignment horizontal="center"/>
    </xf>
    <xf numFmtId="181" fontId="1" fillId="0" borderId="17" xfId="0" applyNumberFormat="1" applyFont="1" applyFill="1" applyBorder="1" applyAlignment="1">
      <alignment horizontal="center"/>
    </xf>
    <xf numFmtId="181" fontId="1" fillId="0" borderId="10" xfId="0" applyNumberFormat="1" applyFont="1" applyFill="1" applyBorder="1" applyAlignment="1">
      <alignment horizontal="center"/>
    </xf>
    <xf numFmtId="179" fontId="1" fillId="0" borderId="10" xfId="60" applyNumberFormat="1" applyFont="1" applyFill="1" applyBorder="1" applyAlignment="1">
      <alignment horizontal="center"/>
    </xf>
    <xf numFmtId="12"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center"/>
    </xf>
    <xf numFmtId="178" fontId="1" fillId="0" borderId="0" xfId="0" applyNumberFormat="1" applyFont="1" applyFill="1" applyAlignment="1">
      <alignment horizontal="center"/>
    </xf>
    <xf numFmtId="1" fontId="1" fillId="0" borderId="0" xfId="0" applyNumberFormat="1" applyFont="1" applyFill="1" applyAlignment="1">
      <alignment/>
    </xf>
    <xf numFmtId="0" fontId="0" fillId="0" borderId="0" xfId="0" applyFont="1" applyFill="1" applyAlignment="1">
      <alignment/>
    </xf>
    <xf numFmtId="12"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9"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2" fontId="3" fillId="0" borderId="18" xfId="0" applyNumberFormat="1" applyFont="1" applyFill="1" applyBorder="1" applyAlignment="1">
      <alignment horizontal="center"/>
    </xf>
    <xf numFmtId="0" fontId="3" fillId="0" borderId="18" xfId="0" applyFont="1" applyFill="1" applyBorder="1" applyAlignment="1">
      <alignment horizontal="center"/>
    </xf>
    <xf numFmtId="179" fontId="3" fillId="0" borderId="18" xfId="0" applyNumberFormat="1" applyFont="1" applyFill="1" applyBorder="1" applyAlignment="1">
      <alignment horizontal="center"/>
    </xf>
    <xf numFmtId="2" fontId="3" fillId="0" borderId="18" xfId="0" applyNumberFormat="1" applyFont="1" applyFill="1" applyBorder="1" applyAlignment="1">
      <alignment horizontal="center"/>
    </xf>
    <xf numFmtId="178" fontId="3" fillId="0" borderId="18" xfId="0" applyNumberFormat="1" applyFont="1" applyFill="1" applyBorder="1" applyAlignment="1">
      <alignment horizontal="center"/>
    </xf>
    <xf numFmtId="4" fontId="1" fillId="0" borderId="0" xfId="0" applyNumberFormat="1" applyFont="1" applyFill="1" applyAlignment="1">
      <alignment horizontal="center"/>
    </xf>
    <xf numFmtId="49" fontId="3" fillId="33" borderId="0" xfId="0" applyNumberFormat="1" applyFont="1" applyFill="1" applyAlignment="1" applyProtection="1">
      <alignment horizontal="right"/>
      <protection hidden="1"/>
    </xf>
    <xf numFmtId="183" fontId="1" fillId="0" borderId="17" xfId="0" applyNumberFormat="1" applyFont="1" applyFill="1" applyBorder="1" applyAlignment="1">
      <alignment horizontal="center"/>
    </xf>
    <xf numFmtId="184" fontId="1" fillId="0" borderId="17" xfId="0" applyNumberFormat="1" applyFont="1" applyFill="1" applyBorder="1" applyAlignment="1">
      <alignment horizontal="center"/>
    </xf>
    <xf numFmtId="205" fontId="1" fillId="0" borderId="17" xfId="0" applyNumberFormat="1" applyFont="1" applyFill="1" applyBorder="1" applyAlignment="1">
      <alignment horizontal="center"/>
    </xf>
    <xf numFmtId="0" fontId="3" fillId="33" borderId="0" xfId="0" applyFont="1" applyFill="1" applyAlignment="1" applyProtection="1">
      <alignment horizontal="right"/>
      <protection hidden="1"/>
    </xf>
    <xf numFmtId="0" fontId="1" fillId="33" borderId="0" xfId="0" applyFont="1" applyFill="1" applyBorder="1" applyAlignment="1" applyProtection="1">
      <alignment horizontal="center" wrapText="1"/>
      <protection hidden="1"/>
    </xf>
    <xf numFmtId="49" fontId="3" fillId="33" borderId="0" xfId="0" applyNumberFormat="1" applyFont="1" applyFill="1" applyAlignment="1" applyProtection="1">
      <alignment horizontal="left" vertical="top"/>
      <protection hidden="1"/>
    </xf>
    <xf numFmtId="178" fontId="1" fillId="0" borderId="0" xfId="0" applyNumberFormat="1" applyFont="1" applyFill="1" applyAlignment="1" applyProtection="1">
      <alignment/>
      <protection hidden="1"/>
    </xf>
    <xf numFmtId="178" fontId="1" fillId="0" borderId="0" xfId="0" applyNumberFormat="1" applyFont="1" applyFill="1" applyAlignment="1" applyProtection="1">
      <alignment horizontal="center"/>
      <protection hidden="1"/>
    </xf>
    <xf numFmtId="178" fontId="1" fillId="0" borderId="0" xfId="0" applyNumberFormat="1" applyFont="1" applyFill="1" applyAlignment="1">
      <alignment/>
    </xf>
    <xf numFmtId="178" fontId="2" fillId="0" borderId="0" xfId="0" applyNumberFormat="1" applyFont="1" applyFill="1" applyAlignment="1" applyProtection="1">
      <alignment/>
      <protection hidden="1"/>
    </xf>
    <xf numFmtId="178" fontId="2" fillId="0" borderId="0" xfId="0" applyNumberFormat="1" applyFont="1" applyFill="1" applyBorder="1" applyAlignment="1" applyProtection="1">
      <alignment/>
      <protection hidden="1"/>
    </xf>
    <xf numFmtId="0" fontId="1" fillId="33" borderId="0" xfId="0" applyNumberFormat="1" applyFont="1" applyFill="1" applyAlignment="1" applyProtection="1">
      <alignment horizontal="center"/>
      <protection hidden="1"/>
    </xf>
    <xf numFmtId="0" fontId="1" fillId="33" borderId="0" xfId="0" applyNumberFormat="1" applyFont="1" applyFill="1" applyAlignment="1" applyProtection="1">
      <alignment/>
      <protection hidden="1"/>
    </xf>
    <xf numFmtId="0" fontId="1" fillId="33" borderId="0" xfId="0" applyNumberFormat="1" applyFont="1" applyFill="1" applyAlignment="1" applyProtection="1">
      <alignment horizontal="right"/>
      <protection hidden="1"/>
    </xf>
    <xf numFmtId="0" fontId="1" fillId="33" borderId="0" xfId="0" applyNumberFormat="1" applyFont="1" applyFill="1" applyAlignment="1" applyProtection="1">
      <alignment horizontal="left"/>
      <protection hidden="1"/>
    </xf>
    <xf numFmtId="0" fontId="1" fillId="33" borderId="0" xfId="0" applyNumberFormat="1" applyFont="1" applyFill="1" applyBorder="1" applyAlignment="1" applyProtection="1">
      <alignment horizontal="center"/>
      <protection hidden="1"/>
    </xf>
    <xf numFmtId="0" fontId="1" fillId="33" borderId="14" xfId="0" applyNumberFormat="1" applyFont="1" applyFill="1" applyBorder="1" applyAlignment="1" applyProtection="1">
      <alignment horizontal="center"/>
      <protection hidden="1"/>
    </xf>
    <xf numFmtId="0" fontId="1" fillId="0" borderId="0" xfId="0" applyFont="1" applyFill="1" applyAlignment="1">
      <alignment vertical="top"/>
    </xf>
    <xf numFmtId="0" fontId="1" fillId="0" borderId="10" xfId="0" applyFont="1" applyFill="1" applyBorder="1" applyAlignment="1">
      <alignment horizontal="center" vertical="top"/>
    </xf>
    <xf numFmtId="178" fontId="1" fillId="0" borderId="19" xfId="0" applyNumberFormat="1" applyFont="1" applyFill="1" applyBorder="1" applyAlignment="1">
      <alignment horizontal="center" vertical="top"/>
    </xf>
    <xf numFmtId="178" fontId="1" fillId="0" borderId="20" xfId="0" applyNumberFormat="1" applyFont="1" applyFill="1" applyBorder="1" applyAlignment="1">
      <alignment horizontal="center" vertical="top"/>
    </xf>
    <xf numFmtId="178" fontId="10" fillId="0" borderId="21" xfId="0" applyNumberFormat="1" applyFont="1" applyFill="1" applyBorder="1" applyAlignment="1">
      <alignment horizontal="left" vertical="top"/>
    </xf>
    <xf numFmtId="2" fontId="1" fillId="0" borderId="14" xfId="0" applyNumberFormat="1" applyFont="1" applyFill="1" applyBorder="1" applyAlignment="1">
      <alignment horizontal="right" vertical="top"/>
    </xf>
    <xf numFmtId="0" fontId="1" fillId="0" borderId="16" xfId="0" applyFont="1" applyFill="1" applyBorder="1" applyAlignment="1">
      <alignment vertical="top"/>
    </xf>
    <xf numFmtId="0" fontId="1" fillId="0" borderId="17" xfId="0" applyFont="1" applyFill="1" applyBorder="1" applyAlignment="1">
      <alignment horizontal="center" vertical="top"/>
    </xf>
    <xf numFmtId="178" fontId="1" fillId="0" borderId="22" xfId="0" applyNumberFormat="1" applyFont="1" applyFill="1" applyBorder="1" applyAlignment="1">
      <alignment horizontal="center" vertical="top"/>
    </xf>
    <xf numFmtId="178" fontId="1" fillId="0" borderId="23" xfId="0" applyNumberFormat="1" applyFont="1" applyFill="1" applyBorder="1" applyAlignment="1">
      <alignment horizontal="center" vertical="top"/>
    </xf>
    <xf numFmtId="2" fontId="1" fillId="0" borderId="24" xfId="0" applyNumberFormat="1" applyFont="1" applyFill="1" applyBorder="1" applyAlignment="1">
      <alignment horizontal="right" vertical="top"/>
    </xf>
    <xf numFmtId="0" fontId="1" fillId="0" borderId="25" xfId="0" applyFont="1" applyFill="1" applyBorder="1" applyAlignment="1">
      <alignment vertical="top"/>
    </xf>
    <xf numFmtId="178" fontId="1" fillId="33" borderId="0" xfId="0" applyNumberFormat="1" applyFont="1" applyFill="1" applyAlignment="1" applyProtection="1">
      <alignment horizontal="center"/>
      <protection hidden="1"/>
    </xf>
    <xf numFmtId="12" fontId="3" fillId="0" borderId="26" xfId="0" applyNumberFormat="1" applyFont="1" applyFill="1" applyBorder="1" applyAlignment="1">
      <alignment vertical="center"/>
    </xf>
    <xf numFmtId="0" fontId="3" fillId="0" borderId="27" xfId="0" applyFont="1" applyFill="1" applyBorder="1" applyAlignment="1">
      <alignment vertical="center"/>
    </xf>
    <xf numFmtId="179" fontId="3" fillId="0" borderId="28" xfId="0" applyNumberFormat="1" applyFont="1" applyFill="1" applyBorder="1" applyAlignment="1">
      <alignment vertical="center"/>
    </xf>
    <xf numFmtId="0" fontId="10" fillId="33" borderId="0" xfId="0" applyNumberFormat="1" applyFont="1" applyFill="1" applyAlignment="1" applyProtection="1">
      <alignment horizontal="center" vertical="top" wrapText="1"/>
      <protection hidden="1"/>
    </xf>
    <xf numFmtId="0" fontId="12" fillId="33" borderId="0" xfId="0" applyNumberFormat="1" applyFont="1" applyFill="1" applyAlignment="1" applyProtection="1">
      <alignment vertical="top" wrapText="1"/>
      <protection hidden="1"/>
    </xf>
    <xf numFmtId="2" fontId="1" fillId="0" borderId="29" xfId="0" applyNumberFormat="1" applyFont="1" applyFill="1" applyBorder="1" applyAlignment="1">
      <alignment horizontal="center" vertical="top"/>
    </xf>
    <xf numFmtId="2" fontId="1" fillId="0" borderId="30" xfId="0" applyNumberFormat="1" applyFont="1" applyFill="1" applyBorder="1" applyAlignment="1">
      <alignment horizontal="center" vertical="top"/>
    </xf>
    <xf numFmtId="2" fontId="1" fillId="0" borderId="31" xfId="0" applyNumberFormat="1" applyFont="1" applyFill="1" applyBorder="1" applyAlignment="1">
      <alignment horizontal="center" vertical="top"/>
    </xf>
    <xf numFmtId="2" fontId="1" fillId="0" borderId="32" xfId="0" applyNumberFormat="1" applyFont="1" applyFill="1" applyBorder="1" applyAlignment="1">
      <alignment horizontal="center" vertical="top"/>
    </xf>
    <xf numFmtId="2" fontId="1" fillId="0" borderId="33" xfId="0" applyNumberFormat="1" applyFont="1" applyFill="1" applyBorder="1" applyAlignment="1">
      <alignment horizontal="center" vertical="top"/>
    </xf>
    <xf numFmtId="2" fontId="1" fillId="0" borderId="16" xfId="0" applyNumberFormat="1" applyFont="1" applyFill="1" applyBorder="1" applyAlignment="1">
      <alignment horizontal="center" vertical="top"/>
    </xf>
    <xf numFmtId="2" fontId="1" fillId="0" borderId="25" xfId="0" applyNumberFormat="1" applyFont="1" applyFill="1" applyBorder="1" applyAlignment="1">
      <alignment horizontal="center" vertical="top"/>
    </xf>
    <xf numFmtId="2" fontId="1" fillId="0" borderId="34" xfId="0" applyNumberFormat="1" applyFont="1" applyFill="1" applyBorder="1" applyAlignment="1">
      <alignment horizontal="center" vertical="top"/>
    </xf>
    <xf numFmtId="2" fontId="1" fillId="0" borderId="14" xfId="0" applyNumberFormat="1" applyFont="1" applyFill="1" applyBorder="1" applyAlignment="1">
      <alignment horizontal="center" vertical="top"/>
    </xf>
    <xf numFmtId="2" fontId="1" fillId="0" borderId="24" xfId="0" applyNumberFormat="1" applyFont="1" applyFill="1" applyBorder="1" applyAlignment="1">
      <alignment horizontal="center" vertical="top"/>
    </xf>
    <xf numFmtId="2" fontId="1" fillId="0" borderId="35" xfId="0" applyNumberFormat="1" applyFont="1" applyFill="1" applyBorder="1" applyAlignment="1">
      <alignment horizontal="left" vertical="top"/>
    </xf>
    <xf numFmtId="2" fontId="1" fillId="0" borderId="29" xfId="0" applyNumberFormat="1" applyFont="1" applyFill="1" applyBorder="1" applyAlignment="1">
      <alignment horizontal="right" vertical="top"/>
    </xf>
    <xf numFmtId="2" fontId="1" fillId="0" borderId="35" xfId="0" applyNumberFormat="1" applyFont="1" applyFill="1" applyBorder="1" applyAlignment="1">
      <alignment horizontal="right" vertical="top"/>
    </xf>
    <xf numFmtId="178" fontId="1" fillId="0" borderId="31" xfId="0" applyNumberFormat="1" applyFont="1" applyFill="1" applyBorder="1" applyAlignment="1">
      <alignment horizontal="center" vertical="top"/>
    </xf>
    <xf numFmtId="2" fontId="1" fillId="0" borderId="36" xfId="0" applyNumberFormat="1" applyFont="1" applyFill="1" applyBorder="1" applyAlignment="1">
      <alignment horizontal="right" vertical="top"/>
    </xf>
    <xf numFmtId="2" fontId="1" fillId="0" borderId="15" xfId="0" applyNumberFormat="1" applyFont="1" applyFill="1" applyBorder="1" applyAlignment="1">
      <alignment horizontal="center" vertical="top"/>
    </xf>
    <xf numFmtId="2" fontId="1" fillId="0" borderId="37" xfId="0" applyNumberFormat="1" applyFont="1" applyFill="1" applyBorder="1" applyAlignment="1">
      <alignment horizontal="center" vertical="top"/>
    </xf>
    <xf numFmtId="2" fontId="1" fillId="0" borderId="36" xfId="0" applyNumberFormat="1" applyFont="1" applyFill="1" applyBorder="1" applyAlignment="1">
      <alignment horizontal="center" vertical="top"/>
    </xf>
    <xf numFmtId="2" fontId="1" fillId="0" borderId="15" xfId="0" applyNumberFormat="1" applyFont="1" applyFill="1" applyBorder="1" applyAlignment="1">
      <alignment horizontal="right" vertical="top"/>
    </xf>
    <xf numFmtId="3" fontId="1" fillId="33" borderId="0" xfId="0" applyNumberFormat="1" applyFont="1" applyFill="1" applyAlignment="1" applyProtection="1">
      <alignment horizontal="center"/>
      <protection hidden="1"/>
    </xf>
    <xf numFmtId="207" fontId="1" fillId="33" borderId="16" xfId="0" applyNumberFormat="1" applyFont="1" applyFill="1" applyBorder="1" applyAlignment="1" applyProtection="1">
      <alignment horizontal="left"/>
      <protection hidden="1"/>
    </xf>
    <xf numFmtId="0" fontId="1" fillId="33" borderId="15" xfId="0" applyNumberFormat="1" applyFont="1" applyFill="1" applyBorder="1" applyAlignment="1" applyProtection="1">
      <alignment horizontal="left"/>
      <protection hidden="1"/>
    </xf>
    <xf numFmtId="1" fontId="1" fillId="33" borderId="15" xfId="0" applyNumberFormat="1" applyFont="1" applyFill="1" applyBorder="1" applyAlignment="1" applyProtection="1">
      <alignment horizontal="right"/>
      <protection hidden="1"/>
    </xf>
    <xf numFmtId="1" fontId="1" fillId="0" borderId="20"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0" fontId="1" fillId="33" borderId="14" xfId="0" applyNumberFormat="1" applyFont="1" applyFill="1" applyBorder="1" applyAlignment="1" applyProtection="1">
      <alignment/>
      <protection hidden="1"/>
    </xf>
    <xf numFmtId="0" fontId="1" fillId="0" borderId="11" xfId="0" applyFont="1" applyBorder="1" applyAlignment="1" applyProtection="1">
      <alignment horizontal="center"/>
      <protection hidden="1" locked="0"/>
    </xf>
    <xf numFmtId="1" fontId="1" fillId="0" borderId="12" xfId="0" applyNumberFormat="1" applyFont="1" applyBorder="1" applyAlignment="1" applyProtection="1">
      <alignment horizontal="center"/>
      <protection hidden="1" locked="0"/>
    </xf>
    <xf numFmtId="49" fontId="1" fillId="0" borderId="13" xfId="0" applyNumberFormat="1" applyFont="1" applyBorder="1" applyAlignment="1" applyProtection="1">
      <alignment horizontal="center"/>
      <protection hidden="1" locked="0"/>
    </xf>
    <xf numFmtId="1" fontId="1" fillId="0" borderId="0" xfId="0" applyNumberFormat="1" applyFont="1" applyAlignment="1" applyProtection="1">
      <alignment/>
      <protection hidden="1" locked="0"/>
    </xf>
    <xf numFmtId="0" fontId="1" fillId="0" borderId="0" xfId="0" applyFont="1" applyAlignment="1" applyProtection="1">
      <alignment/>
      <protection hidden="1" locked="0"/>
    </xf>
    <xf numFmtId="0" fontId="1" fillId="0" borderId="0" xfId="0" applyFont="1" applyAlignment="1" applyProtection="1">
      <alignment horizontal="center"/>
      <protection hidden="1" locked="0"/>
    </xf>
    <xf numFmtId="0" fontId="1" fillId="0" borderId="38" xfId="0" applyFont="1" applyBorder="1" applyAlignment="1" applyProtection="1">
      <alignment horizontal="center"/>
      <protection hidden="1" locked="0"/>
    </xf>
    <xf numFmtId="12" fontId="1" fillId="0" borderId="0" xfId="0" applyNumberFormat="1" applyFont="1" applyBorder="1" applyAlignment="1" applyProtection="1">
      <alignment horizontal="center"/>
      <protection hidden="1" locked="0"/>
    </xf>
    <xf numFmtId="0" fontId="1" fillId="0" borderId="39" xfId="0" applyFont="1" applyBorder="1" applyAlignment="1" applyProtection="1">
      <alignment/>
      <protection hidden="1" locked="0"/>
    </xf>
    <xf numFmtId="49" fontId="1" fillId="0" borderId="0" xfId="0" applyNumberFormat="1" applyFont="1" applyAlignment="1" applyProtection="1">
      <alignment horizontal="center"/>
      <protection hidden="1" locked="0"/>
    </xf>
    <xf numFmtId="49" fontId="1" fillId="0" borderId="0" xfId="0" applyNumberFormat="1" applyFont="1" applyBorder="1" applyAlignment="1" applyProtection="1">
      <alignment horizontal="center"/>
      <protection hidden="1" locked="0"/>
    </xf>
    <xf numFmtId="0" fontId="1" fillId="0" borderId="0" xfId="0" applyNumberFormat="1" applyFont="1" applyBorder="1" applyAlignment="1" applyProtection="1">
      <alignment horizontal="center"/>
      <protection hidden="1" locked="0"/>
    </xf>
    <xf numFmtId="0" fontId="1" fillId="0" borderId="13" xfId="0" applyFont="1" applyBorder="1" applyAlignment="1" applyProtection="1">
      <alignment/>
      <protection hidden="1" locked="0"/>
    </xf>
    <xf numFmtId="49" fontId="1" fillId="0" borderId="38" xfId="0" applyNumberFormat="1" applyFont="1" applyBorder="1" applyAlignment="1" applyProtection="1">
      <alignment horizontal="center"/>
      <protection hidden="1" locked="0"/>
    </xf>
    <xf numFmtId="0" fontId="1" fillId="0" borderId="39" xfId="0" applyFont="1" applyBorder="1" applyAlignment="1" applyProtection="1">
      <alignment horizontal="center"/>
      <protection hidden="1" locked="0"/>
    </xf>
    <xf numFmtId="0" fontId="1" fillId="0" borderId="38" xfId="0" applyFont="1" applyBorder="1" applyAlignment="1" applyProtection="1">
      <alignment/>
      <protection hidden="1" locked="0"/>
    </xf>
    <xf numFmtId="0" fontId="1" fillId="0" borderId="40" xfId="0" applyFont="1" applyBorder="1" applyAlignment="1" applyProtection="1">
      <alignment/>
      <protection hidden="1" locked="0"/>
    </xf>
    <xf numFmtId="0" fontId="1" fillId="0" borderId="41" xfId="0" applyFont="1" applyBorder="1" applyAlignment="1" applyProtection="1">
      <alignment/>
      <protection hidden="1" locked="0"/>
    </xf>
    <xf numFmtId="0" fontId="1" fillId="0" borderId="12" xfId="0" applyFont="1" applyBorder="1" applyAlignment="1" applyProtection="1">
      <alignment/>
      <protection hidden="1" locked="0"/>
    </xf>
    <xf numFmtId="2" fontId="1" fillId="0" borderId="0" xfId="0" applyNumberFormat="1" applyFont="1" applyBorder="1" applyAlignment="1" applyProtection="1">
      <alignment/>
      <protection hidden="1" locked="0"/>
    </xf>
    <xf numFmtId="49" fontId="1" fillId="0" borderId="12" xfId="0" applyNumberFormat="1" applyFont="1" applyBorder="1" applyAlignment="1" applyProtection="1">
      <alignment horizontal="center"/>
      <protection hidden="1" locked="0"/>
    </xf>
    <xf numFmtId="0" fontId="1" fillId="0" borderId="0" xfId="0" applyFont="1" applyBorder="1" applyAlignment="1" applyProtection="1">
      <alignment/>
      <protection hidden="1" locked="0"/>
    </xf>
    <xf numFmtId="49" fontId="1" fillId="0" borderId="38" xfId="0" applyNumberFormat="1" applyFont="1" applyBorder="1" applyAlignment="1" applyProtection="1">
      <alignment horizontal="left"/>
      <protection hidden="1" locked="0"/>
    </xf>
    <xf numFmtId="0" fontId="1" fillId="0" borderId="10" xfId="0" applyFont="1" applyBorder="1" applyAlignment="1" applyProtection="1">
      <alignment/>
      <protection hidden="1" locked="0"/>
    </xf>
    <xf numFmtId="0" fontId="1" fillId="0" borderId="15" xfId="0" applyFont="1" applyBorder="1" applyAlignment="1" applyProtection="1">
      <alignment/>
      <protection hidden="1" locked="0"/>
    </xf>
    <xf numFmtId="0" fontId="1" fillId="0" borderId="16" xfId="0" applyFont="1" applyBorder="1" applyAlignment="1" applyProtection="1">
      <alignment/>
      <protection hidden="1" locked="0"/>
    </xf>
    <xf numFmtId="0" fontId="1" fillId="0" borderId="11" xfId="0" applyNumberFormat="1" applyFont="1" applyFill="1" applyBorder="1" applyAlignment="1" applyProtection="1">
      <alignment horizontal="left"/>
      <protection hidden="1" locked="0"/>
    </xf>
    <xf numFmtId="0" fontId="1" fillId="0" borderId="14" xfId="0" applyFont="1" applyBorder="1" applyAlignment="1" applyProtection="1">
      <alignment/>
      <protection hidden="1" locked="0"/>
    </xf>
    <xf numFmtId="0" fontId="1" fillId="0" borderId="17" xfId="0" applyFont="1" applyBorder="1" applyAlignment="1" applyProtection="1">
      <alignment/>
      <protection hidden="1" locked="0"/>
    </xf>
    <xf numFmtId="0" fontId="1" fillId="0" borderId="14" xfId="0" applyFont="1" applyBorder="1" applyAlignment="1" applyProtection="1">
      <alignment horizontal="center"/>
      <protection hidden="1" locked="0"/>
    </xf>
    <xf numFmtId="0" fontId="1" fillId="0" borderId="15" xfId="0" applyNumberFormat="1" applyFont="1" applyBorder="1" applyAlignment="1" applyProtection="1">
      <alignment horizontal="center"/>
      <protection hidden="1" locked="0"/>
    </xf>
    <xf numFmtId="49" fontId="1" fillId="0" borderId="15" xfId="0" applyNumberFormat="1" applyFont="1" applyBorder="1" applyAlignment="1" applyProtection="1">
      <alignment horizontal="center"/>
      <protection hidden="1" locked="0"/>
    </xf>
    <xf numFmtId="2" fontId="1" fillId="0" borderId="10" xfId="0" applyNumberFormat="1" applyFont="1" applyFill="1" applyBorder="1" applyAlignment="1" applyProtection="1">
      <alignment/>
      <protection hidden="1" locked="0"/>
    </xf>
    <xf numFmtId="178" fontId="1" fillId="0" borderId="0" xfId="0" applyNumberFormat="1" applyFont="1" applyFill="1" applyAlignment="1" applyProtection="1">
      <alignment horizontal="left"/>
      <protection hidden="1"/>
    </xf>
    <xf numFmtId="178" fontId="1" fillId="0" borderId="0" xfId="0" applyNumberFormat="1" applyFont="1" applyFill="1" applyAlignment="1" applyProtection="1">
      <alignment horizontal="right"/>
      <protection hidden="1"/>
    </xf>
    <xf numFmtId="2" fontId="1" fillId="0" borderId="0" xfId="0" applyNumberFormat="1" applyFont="1" applyFill="1" applyAlignment="1" applyProtection="1">
      <alignment horizontal="left"/>
      <protection hidden="1"/>
    </xf>
    <xf numFmtId="214" fontId="1" fillId="33" borderId="0" xfId="0" applyNumberFormat="1" applyFont="1" applyFill="1" applyAlignment="1" applyProtection="1">
      <alignment horizontal="right"/>
      <protection hidden="1"/>
    </xf>
    <xf numFmtId="2" fontId="1" fillId="33" borderId="0" xfId="0" applyNumberFormat="1" applyFont="1" applyFill="1" applyAlignment="1" applyProtection="1">
      <alignment vertical="top" wrapText="1"/>
      <protection hidden="1"/>
    </xf>
    <xf numFmtId="0" fontId="1" fillId="33" borderId="0" xfId="0" applyNumberFormat="1" applyFont="1" applyFill="1" applyBorder="1" applyAlignment="1" applyProtection="1">
      <alignment vertical="center"/>
      <protection hidden="1"/>
    </xf>
    <xf numFmtId="0" fontId="1" fillId="33" borderId="42" xfId="0" applyNumberFormat="1" applyFont="1" applyFill="1" applyBorder="1" applyAlignment="1" applyProtection="1">
      <alignment horizontal="right"/>
      <protection hidden="1"/>
    </xf>
    <xf numFmtId="0" fontId="1" fillId="33" borderId="43" xfId="0" applyNumberFormat="1" applyFont="1" applyFill="1" applyBorder="1" applyAlignment="1" applyProtection="1">
      <alignment horizontal="left"/>
      <protection hidden="1"/>
    </xf>
    <xf numFmtId="178" fontId="10" fillId="0" borderId="21" xfId="0" applyNumberFormat="1" applyFont="1" applyFill="1" applyBorder="1" applyAlignment="1">
      <alignment horizontal="left" vertical="top" wrapText="1"/>
    </xf>
    <xf numFmtId="2" fontId="1" fillId="33" borderId="44" xfId="0" applyNumberFormat="1" applyFont="1" applyFill="1" applyBorder="1" applyAlignment="1" applyProtection="1">
      <alignment horizontal="right"/>
      <protection hidden="1"/>
    </xf>
    <xf numFmtId="0" fontId="1" fillId="0" borderId="12" xfId="0" applyFont="1" applyBorder="1" applyAlignment="1" applyProtection="1">
      <alignment horizontal="right"/>
      <protection hidden="1" locked="0"/>
    </xf>
    <xf numFmtId="0" fontId="1" fillId="0" borderId="0" xfId="0" applyFont="1" applyBorder="1" applyAlignment="1" applyProtection="1">
      <alignment horizontal="left"/>
      <protection hidden="1" locked="0"/>
    </xf>
    <xf numFmtId="49" fontId="1" fillId="0" borderId="0" xfId="0" applyNumberFormat="1" applyFont="1" applyBorder="1" applyAlignment="1" applyProtection="1">
      <alignment horizontal="left"/>
      <protection hidden="1" locked="0"/>
    </xf>
    <xf numFmtId="0" fontId="1" fillId="0" borderId="0" xfId="0" applyFont="1" applyBorder="1" applyAlignment="1" applyProtection="1">
      <alignment horizontal="center"/>
      <protection hidden="1" locked="0"/>
    </xf>
    <xf numFmtId="0" fontId="10" fillId="0" borderId="40" xfId="0" applyFont="1" applyBorder="1" applyAlignment="1" applyProtection="1">
      <alignment/>
      <protection hidden="1" locked="0"/>
    </xf>
    <xf numFmtId="0" fontId="1" fillId="0" borderId="11" xfId="0" applyFont="1" applyBorder="1" applyAlignment="1" applyProtection="1">
      <alignment/>
      <protection hidden="1"/>
    </xf>
    <xf numFmtId="0" fontId="1" fillId="33" borderId="0" xfId="0" applyNumberFormat="1" applyFont="1" applyFill="1" applyBorder="1" applyAlignment="1" applyProtection="1">
      <alignment/>
      <protection hidden="1"/>
    </xf>
    <xf numFmtId="0" fontId="1" fillId="33" borderId="0" xfId="0" applyFont="1" applyFill="1" applyBorder="1" applyAlignment="1" applyProtection="1">
      <alignment/>
      <protection hidden="1"/>
    </xf>
    <xf numFmtId="0" fontId="1" fillId="33" borderId="11" xfId="0" applyNumberFormat="1" applyFont="1" applyFill="1" applyBorder="1" applyAlignment="1" applyProtection="1">
      <alignment horizontal="center"/>
      <protection hidden="1"/>
    </xf>
    <xf numFmtId="2" fontId="1" fillId="0" borderId="17" xfId="0" applyNumberFormat="1" applyFont="1" applyBorder="1" applyAlignment="1" applyProtection="1">
      <alignment/>
      <protection hidden="1" locked="0"/>
    </xf>
    <xf numFmtId="0" fontId="1" fillId="0" borderId="41" xfId="0" applyFont="1" applyBorder="1" applyAlignment="1" applyProtection="1">
      <alignment/>
      <protection hidden="1"/>
    </xf>
    <xf numFmtId="0" fontId="1" fillId="33" borderId="14" xfId="0" applyNumberFormat="1" applyFont="1" applyFill="1" applyBorder="1" applyAlignment="1" applyProtection="1">
      <alignment horizontal="left"/>
      <protection hidden="1"/>
    </xf>
    <xf numFmtId="0" fontId="1" fillId="33" borderId="15" xfId="0" applyNumberFormat="1" applyFont="1" applyFill="1" applyBorder="1" applyAlignment="1" applyProtection="1">
      <alignment horizontal="right"/>
      <protection hidden="1"/>
    </xf>
    <xf numFmtId="0" fontId="1" fillId="33" borderId="16" xfId="0" applyNumberFormat="1" applyFont="1" applyFill="1" applyBorder="1" applyAlignment="1" applyProtection="1">
      <alignment horizontal="left"/>
      <protection hidden="1"/>
    </xf>
    <xf numFmtId="0" fontId="1" fillId="33" borderId="0" xfId="0" applyNumberFormat="1" applyFont="1" applyFill="1" applyBorder="1" applyAlignment="1" applyProtection="1">
      <alignment horizontal="left" vertical="top"/>
      <protection hidden="1"/>
    </xf>
    <xf numFmtId="1" fontId="1" fillId="0" borderId="0" xfId="0" applyNumberFormat="1" applyFont="1" applyAlignment="1" applyProtection="1">
      <alignment horizontal="center"/>
      <protection hidden="1"/>
    </xf>
    <xf numFmtId="0" fontId="10" fillId="33" borderId="0" xfId="0" applyNumberFormat="1" applyFont="1" applyFill="1" applyAlignment="1" applyProtection="1">
      <alignment vertical="top" wrapText="1"/>
      <protection hidden="1"/>
    </xf>
    <xf numFmtId="0" fontId="1" fillId="33" borderId="14" xfId="0" applyNumberFormat="1" applyFont="1" applyFill="1" applyBorder="1" applyAlignment="1" applyProtection="1">
      <alignment horizontal="right"/>
      <protection hidden="1"/>
    </xf>
    <xf numFmtId="2" fontId="1" fillId="0" borderId="30" xfId="0" applyNumberFormat="1" applyFont="1" applyFill="1" applyBorder="1" applyAlignment="1">
      <alignment horizontal="right" vertical="top"/>
    </xf>
    <xf numFmtId="214" fontId="4" fillId="34" borderId="15" xfId="0" applyNumberFormat="1" applyFont="1" applyFill="1" applyBorder="1" applyAlignment="1" applyProtection="1">
      <alignment horizontal="center"/>
      <protection hidden="1"/>
    </xf>
    <xf numFmtId="215" fontId="4" fillId="34" borderId="16" xfId="0" applyNumberFormat="1" applyFont="1" applyFill="1" applyBorder="1" applyAlignment="1" applyProtection="1">
      <alignment horizontal="center"/>
      <protection hidden="1"/>
    </xf>
    <xf numFmtId="1" fontId="1" fillId="0" borderId="23" xfId="0" applyNumberFormat="1" applyFont="1" applyFill="1" applyBorder="1" applyAlignment="1" quotePrefix="1">
      <alignment horizontal="center" vertical="top"/>
    </xf>
    <xf numFmtId="1" fontId="17" fillId="0" borderId="28" xfId="0" applyNumberFormat="1" applyFont="1" applyFill="1" applyBorder="1" applyAlignment="1">
      <alignment horizontal="center" vertical="center"/>
    </xf>
    <xf numFmtId="1" fontId="17" fillId="0" borderId="45" xfId="0" applyNumberFormat="1" applyFont="1" applyFill="1" applyBorder="1" applyAlignment="1">
      <alignment horizontal="center" vertical="center"/>
    </xf>
    <xf numFmtId="1" fontId="1" fillId="0" borderId="19" xfId="0" applyNumberFormat="1" applyFont="1" applyFill="1" applyBorder="1" applyAlignment="1">
      <alignment horizontal="center" vertical="top"/>
    </xf>
    <xf numFmtId="49" fontId="8" fillId="33" borderId="0" xfId="0" applyNumberFormat="1" applyFont="1" applyFill="1" applyAlignment="1" applyProtection="1">
      <alignment vertical="center" wrapText="1"/>
      <protection hidden="1"/>
    </xf>
    <xf numFmtId="0" fontId="1" fillId="33" borderId="0" xfId="0" applyNumberFormat="1" applyFont="1" applyFill="1" applyAlignment="1" applyProtection="1">
      <alignment horizontal="center" vertical="center"/>
      <protection hidden="1"/>
    </xf>
    <xf numFmtId="0" fontId="1" fillId="33" borderId="0" xfId="0" applyNumberFormat="1" applyFont="1" applyFill="1" applyBorder="1" applyAlignment="1" applyProtection="1">
      <alignment horizontal="center" vertical="center"/>
      <protection hidden="1"/>
    </xf>
    <xf numFmtId="49" fontId="8" fillId="33" borderId="46" xfId="0" applyNumberFormat="1" applyFont="1" applyFill="1" applyBorder="1" applyAlignment="1" applyProtection="1">
      <alignment/>
      <protection hidden="1"/>
    </xf>
    <xf numFmtId="49" fontId="8" fillId="33" borderId="0" xfId="0" applyNumberFormat="1" applyFont="1" applyFill="1" applyBorder="1" applyAlignment="1" applyProtection="1">
      <alignment/>
      <protection hidden="1"/>
    </xf>
    <xf numFmtId="49" fontId="3" fillId="33" borderId="46" xfId="0" applyNumberFormat="1" applyFont="1" applyFill="1" applyBorder="1" applyAlignment="1" applyProtection="1">
      <alignment wrapText="1"/>
      <protection hidden="1"/>
    </xf>
    <xf numFmtId="49" fontId="3" fillId="33" borderId="0" xfId="0" applyNumberFormat="1" applyFont="1" applyFill="1" applyAlignment="1" applyProtection="1">
      <alignment wrapText="1"/>
      <protection hidden="1"/>
    </xf>
    <xf numFmtId="0" fontId="3" fillId="33" borderId="0" xfId="0" applyFont="1" applyFill="1" applyBorder="1" applyAlignment="1" applyProtection="1">
      <alignment/>
      <protection hidden="1"/>
    </xf>
    <xf numFmtId="49" fontId="3" fillId="33" borderId="0" xfId="0" applyNumberFormat="1" applyFont="1" applyFill="1" applyBorder="1" applyAlignment="1" applyProtection="1">
      <alignment wrapText="1"/>
      <protection hidden="1"/>
    </xf>
    <xf numFmtId="12" fontId="18" fillId="0" borderId="47" xfId="0" applyNumberFormat="1" applyFont="1" applyFill="1" applyBorder="1" applyAlignment="1" applyProtection="1">
      <alignment horizontal="center" vertical="center"/>
      <protection hidden="1"/>
    </xf>
    <xf numFmtId="12" fontId="20" fillId="0" borderId="48" xfId="0" applyNumberFormat="1" applyFont="1" applyFill="1" applyBorder="1" applyAlignment="1" applyProtection="1">
      <alignment horizontal="center" vertical="center"/>
      <protection hidden="1"/>
    </xf>
    <xf numFmtId="12" fontId="20" fillId="0" borderId="49" xfId="0" applyNumberFormat="1" applyFont="1" applyFill="1" applyBorder="1" applyAlignment="1" applyProtection="1">
      <alignment horizontal="center" vertical="center"/>
      <protection hidden="1"/>
    </xf>
    <xf numFmtId="12" fontId="20" fillId="0" borderId="50" xfId="0" applyNumberFormat="1" applyFont="1" applyFill="1" applyBorder="1" applyAlignment="1" applyProtection="1">
      <alignment horizontal="center" vertical="center"/>
      <protection hidden="1"/>
    </xf>
    <xf numFmtId="12" fontId="20" fillId="0" borderId="51" xfId="0" applyNumberFormat="1" applyFont="1" applyFill="1" applyBorder="1" applyAlignment="1" applyProtection="1">
      <alignment horizontal="center" vertical="center"/>
      <protection hidden="1"/>
    </xf>
    <xf numFmtId="12" fontId="20" fillId="0" borderId="52" xfId="0" applyNumberFormat="1" applyFont="1" applyFill="1" applyBorder="1" applyAlignment="1" applyProtection="1">
      <alignment horizontal="center" vertical="center"/>
      <protection hidden="1"/>
    </xf>
    <xf numFmtId="49" fontId="8" fillId="33" borderId="0" xfId="0" applyNumberFormat="1" applyFont="1" applyFill="1" applyBorder="1" applyAlignment="1" applyProtection="1">
      <alignment horizontal="center" wrapText="1"/>
      <protection hidden="1"/>
    </xf>
    <xf numFmtId="212" fontId="1" fillId="33" borderId="0" xfId="0" applyNumberFormat="1" applyFont="1" applyFill="1" applyAlignment="1" applyProtection="1">
      <alignment horizontal="left" vertical="center"/>
      <protection hidden="1"/>
    </xf>
    <xf numFmtId="0" fontId="12" fillId="33" borderId="0" xfId="0" applyNumberFormat="1" applyFont="1" applyFill="1" applyBorder="1" applyAlignment="1" applyProtection="1">
      <alignment horizontal="justify" vertical="top" wrapText="1"/>
      <protection hidden="1"/>
    </xf>
    <xf numFmtId="0" fontId="13" fillId="33" borderId="0" xfId="0" applyNumberFormat="1" applyFont="1" applyFill="1" applyAlignment="1" applyProtection="1">
      <alignment horizontal="center"/>
      <protection hidden="1"/>
    </xf>
    <xf numFmtId="0" fontId="1" fillId="33" borderId="0" xfId="0" applyFont="1" applyFill="1" applyBorder="1" applyAlignment="1" applyProtection="1">
      <alignment horizontal="center" wrapText="1"/>
      <protection hidden="1"/>
    </xf>
    <xf numFmtId="0" fontId="1" fillId="0" borderId="24" xfId="0" applyFont="1" applyBorder="1" applyAlignment="1" applyProtection="1">
      <alignment horizontal="center"/>
      <protection hidden="1" locked="0"/>
    </xf>
    <xf numFmtId="0" fontId="1" fillId="0" borderId="25" xfId="0" applyFont="1" applyBorder="1" applyAlignment="1" applyProtection="1">
      <alignment horizontal="center"/>
      <protection hidden="1" locked="0"/>
    </xf>
    <xf numFmtId="2" fontId="12" fillId="33" borderId="12" xfId="0" applyNumberFormat="1" applyFont="1" applyFill="1" applyBorder="1" applyAlignment="1" applyProtection="1">
      <alignment horizontal="justify" vertical="center" wrapText="1"/>
      <protection hidden="1"/>
    </xf>
    <xf numFmtId="2" fontId="12" fillId="33" borderId="13" xfId="0" applyNumberFormat="1" applyFont="1" applyFill="1" applyBorder="1" applyAlignment="1" applyProtection="1">
      <alignment horizontal="justify" vertical="center" wrapText="1"/>
      <protection hidden="1"/>
    </xf>
    <xf numFmtId="2" fontId="12" fillId="33" borderId="0" xfId="0" applyNumberFormat="1" applyFont="1" applyFill="1" applyBorder="1" applyAlignment="1" applyProtection="1">
      <alignment horizontal="justify" vertical="center" wrapText="1"/>
      <protection hidden="1"/>
    </xf>
    <xf numFmtId="2" fontId="12" fillId="33" borderId="39" xfId="0" applyNumberFormat="1" applyFont="1" applyFill="1" applyBorder="1" applyAlignment="1" applyProtection="1">
      <alignment horizontal="justify" vertical="center" wrapText="1"/>
      <protection hidden="1"/>
    </xf>
    <xf numFmtId="2" fontId="12" fillId="33" borderId="15" xfId="0" applyNumberFormat="1" applyFont="1" applyFill="1" applyBorder="1" applyAlignment="1" applyProtection="1">
      <alignment horizontal="justify" vertical="center" wrapText="1"/>
      <protection hidden="1"/>
    </xf>
    <xf numFmtId="2" fontId="12" fillId="33" borderId="16" xfId="0" applyNumberFormat="1" applyFont="1" applyFill="1" applyBorder="1" applyAlignment="1" applyProtection="1">
      <alignment horizontal="justify" vertical="center" wrapText="1"/>
      <protection hidden="1"/>
    </xf>
    <xf numFmtId="0" fontId="1" fillId="33" borderId="0" xfId="0" applyNumberFormat="1" applyFont="1" applyFill="1" applyBorder="1" applyAlignment="1" applyProtection="1">
      <alignment horizontal="right" vertical="center" wrapText="1"/>
      <protection hidden="1"/>
    </xf>
    <xf numFmtId="186" fontId="1" fillId="33" borderId="0" xfId="0" applyNumberFormat="1" applyFont="1" applyFill="1" applyBorder="1" applyAlignment="1" applyProtection="1">
      <alignment horizontal="center"/>
      <protection hidden="1"/>
    </xf>
    <xf numFmtId="0" fontId="1" fillId="33" borderId="0" xfId="0" applyNumberFormat="1" applyFont="1" applyFill="1" applyAlignment="1" applyProtection="1">
      <alignment horizontal="left"/>
      <protection hidden="1"/>
    </xf>
    <xf numFmtId="201" fontId="1" fillId="0" borderId="24" xfId="60" applyNumberFormat="1" applyFont="1" applyFill="1" applyBorder="1" applyAlignment="1" applyProtection="1">
      <alignment horizontal="center"/>
      <protection locked="0"/>
    </xf>
    <xf numFmtId="0" fontId="0" fillId="0" borderId="25" xfId="0" applyBorder="1" applyAlignment="1" applyProtection="1">
      <alignment/>
      <protection locked="0"/>
    </xf>
    <xf numFmtId="0" fontId="1" fillId="33" borderId="0" xfId="0" applyNumberFormat="1" applyFont="1" applyFill="1" applyAlignment="1" applyProtection="1">
      <alignment horizontal="right" vertical="center"/>
      <protection hidden="1"/>
    </xf>
    <xf numFmtId="0" fontId="1" fillId="33" borderId="0" xfId="0" applyNumberFormat="1" applyFont="1" applyFill="1" applyAlignment="1" applyProtection="1">
      <alignment horizontal="right"/>
      <protection hidden="1"/>
    </xf>
    <xf numFmtId="2" fontId="0" fillId="33" borderId="38" xfId="0" applyNumberFormat="1" applyFont="1" applyFill="1" applyBorder="1" applyAlignment="1" applyProtection="1">
      <alignment horizontal="center" vertical="center" wrapText="1"/>
      <protection hidden="1"/>
    </xf>
    <xf numFmtId="0" fontId="1" fillId="33" borderId="0" xfId="0" applyNumberFormat="1" applyFont="1" applyFill="1" applyAlignment="1" applyProtection="1">
      <alignment horizontal="center" vertical="center"/>
      <protection hidden="1"/>
    </xf>
    <xf numFmtId="0" fontId="10" fillId="33" borderId="0" xfId="0" applyNumberFormat="1" applyFont="1" applyFill="1" applyAlignment="1" applyProtection="1">
      <alignment horizontal="justify" vertical="center"/>
      <protection hidden="1"/>
    </xf>
    <xf numFmtId="0" fontId="1" fillId="33" borderId="11" xfId="0" applyNumberFormat="1" applyFont="1" applyFill="1" applyBorder="1" applyAlignment="1" applyProtection="1">
      <alignment horizontal="center"/>
      <protection hidden="1"/>
    </xf>
    <xf numFmtId="0" fontId="1" fillId="33" borderId="12" xfId="0" applyNumberFormat="1" applyFont="1" applyFill="1" applyBorder="1" applyAlignment="1" applyProtection="1">
      <alignment horizontal="center"/>
      <protection hidden="1"/>
    </xf>
    <xf numFmtId="0" fontId="1" fillId="33" borderId="13" xfId="0" applyNumberFormat="1" applyFont="1" applyFill="1" applyBorder="1" applyAlignment="1" applyProtection="1">
      <alignment horizontal="center"/>
      <protection hidden="1"/>
    </xf>
    <xf numFmtId="0" fontId="1" fillId="33" borderId="53" xfId="0" applyNumberFormat="1" applyFont="1" applyFill="1" applyBorder="1" applyAlignment="1" applyProtection="1">
      <alignment horizontal="center"/>
      <protection hidden="1"/>
    </xf>
    <xf numFmtId="0" fontId="1" fillId="33" borderId="54" xfId="0" applyNumberFormat="1" applyFont="1" applyFill="1" applyBorder="1" applyAlignment="1" applyProtection="1">
      <alignment horizontal="center"/>
      <protection hidden="1"/>
    </xf>
    <xf numFmtId="0" fontId="1" fillId="33" borderId="55" xfId="0" applyNumberFormat="1" applyFont="1" applyFill="1" applyBorder="1" applyAlignment="1" applyProtection="1">
      <alignment horizontal="center"/>
      <protection hidden="1"/>
    </xf>
    <xf numFmtId="0" fontId="1" fillId="33" borderId="11" xfId="0" applyNumberFormat="1" applyFont="1" applyFill="1" applyBorder="1" applyAlignment="1" applyProtection="1">
      <alignment horizontal="center" vertical="center"/>
      <protection hidden="1"/>
    </xf>
    <xf numFmtId="0" fontId="1" fillId="33" borderId="12" xfId="0" applyNumberFormat="1" applyFont="1" applyFill="1" applyBorder="1" applyAlignment="1" applyProtection="1">
      <alignment horizontal="center" vertical="center"/>
      <protection hidden="1"/>
    </xf>
    <xf numFmtId="0" fontId="1" fillId="33" borderId="14" xfId="0" applyNumberFormat="1" applyFont="1" applyFill="1" applyBorder="1" applyAlignment="1" applyProtection="1">
      <alignment horizontal="center" vertical="center"/>
      <protection hidden="1"/>
    </xf>
    <xf numFmtId="0" fontId="1" fillId="33" borderId="15" xfId="0" applyNumberFormat="1" applyFont="1" applyFill="1" applyBorder="1" applyAlignment="1" applyProtection="1">
      <alignment horizontal="center" vertical="center"/>
      <protection hidden="1"/>
    </xf>
    <xf numFmtId="2" fontId="1" fillId="33" borderId="12" xfId="0" applyNumberFormat="1" applyFont="1" applyFill="1" applyBorder="1" applyAlignment="1" applyProtection="1">
      <alignment horizontal="center" vertical="center"/>
      <protection hidden="1"/>
    </xf>
    <xf numFmtId="2" fontId="1" fillId="33" borderId="15" xfId="0" applyNumberFormat="1" applyFont="1" applyFill="1" applyBorder="1" applyAlignment="1" applyProtection="1">
      <alignment horizontal="center" vertical="center"/>
      <protection hidden="1"/>
    </xf>
    <xf numFmtId="0" fontId="1" fillId="33" borderId="13" xfId="0" applyNumberFormat="1" applyFont="1" applyFill="1" applyBorder="1" applyAlignment="1" applyProtection="1">
      <alignment horizontal="center" vertical="center"/>
      <protection hidden="1"/>
    </xf>
    <xf numFmtId="0" fontId="1" fillId="33" borderId="16"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center" vertical="center"/>
      <protection hidden="1"/>
    </xf>
    <xf numFmtId="49" fontId="2" fillId="0" borderId="0" xfId="0" applyNumberFormat="1" applyFont="1" applyFill="1" applyAlignment="1" applyProtection="1">
      <alignment horizontal="center"/>
      <protection hidden="1"/>
    </xf>
    <xf numFmtId="179" fontId="16" fillId="0" borderId="56" xfId="0" applyNumberFormat="1" applyFont="1" applyFill="1" applyBorder="1" applyAlignment="1">
      <alignment horizontal="center" vertical="center" textRotation="90" wrapText="1"/>
    </xf>
    <xf numFmtId="179" fontId="16" fillId="0" borderId="57" xfId="0" applyNumberFormat="1" applyFont="1" applyFill="1" applyBorder="1" applyAlignment="1">
      <alignment horizontal="center" vertical="center" textRotation="90" wrapText="1"/>
    </xf>
    <xf numFmtId="179" fontId="16" fillId="0" borderId="28" xfId="0" applyNumberFormat="1" applyFont="1" applyFill="1" applyBorder="1" applyAlignment="1">
      <alignment horizontal="center" vertical="center" textRotation="90"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60" xfId="0" applyFont="1" applyFill="1" applyBorder="1" applyAlignment="1">
      <alignment horizontal="center" vertical="center" wrapText="1"/>
    </xf>
    <xf numFmtId="1" fontId="3" fillId="0" borderId="61" xfId="0" applyNumberFormat="1" applyFont="1" applyFill="1" applyBorder="1" applyAlignment="1">
      <alignment horizontal="center" vertical="center"/>
    </xf>
    <xf numFmtId="1" fontId="3" fillId="0" borderId="62" xfId="0" applyNumberFormat="1" applyFont="1" applyFill="1" applyBorder="1" applyAlignment="1">
      <alignment horizontal="center" vertical="center"/>
    </xf>
    <xf numFmtId="1" fontId="3" fillId="0" borderId="63" xfId="0" applyNumberFormat="1"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178" fontId="3" fillId="0" borderId="66"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67" xfId="0" applyNumberFormat="1" applyFont="1" applyFill="1" applyBorder="1" applyAlignment="1">
      <alignment horizontal="center" vertical="center"/>
    </xf>
    <xf numFmtId="178" fontId="3" fillId="0" borderId="68" xfId="0" applyNumberFormat="1" applyFont="1" applyFill="1" applyBorder="1" applyAlignment="1">
      <alignment horizontal="center" vertical="center"/>
    </xf>
    <xf numFmtId="178" fontId="3" fillId="0" borderId="69" xfId="0" applyNumberFormat="1" applyFont="1" applyFill="1" applyBorder="1" applyAlignment="1">
      <alignment horizontal="center" vertical="center"/>
    </xf>
    <xf numFmtId="178" fontId="3" fillId="0" borderId="70" xfId="0" applyNumberFormat="1" applyFont="1" applyFill="1" applyBorder="1" applyAlignment="1">
      <alignment horizontal="center" vertical="center"/>
    </xf>
    <xf numFmtId="12" fontId="3" fillId="0" borderId="41" xfId="0" applyNumberFormat="1" applyFont="1" applyFill="1" applyBorder="1" applyAlignment="1">
      <alignment horizontal="center" vertical="center"/>
    </xf>
    <xf numFmtId="12" fontId="3" fillId="0" borderId="40" xfId="0" applyNumberFormat="1" applyFont="1" applyFill="1" applyBorder="1" applyAlignment="1">
      <alignment horizontal="center" vertical="center"/>
    </xf>
    <xf numFmtId="0" fontId="10" fillId="0" borderId="41" xfId="0" applyFont="1" applyFill="1" applyBorder="1" applyAlignment="1">
      <alignment horizontal="center" textRotation="90" wrapText="1"/>
    </xf>
    <xf numFmtId="0" fontId="10" fillId="0" borderId="40" xfId="0" applyFont="1" applyFill="1" applyBorder="1" applyAlignment="1">
      <alignment horizontal="center" textRotation="90" wrapText="1"/>
    </xf>
    <xf numFmtId="0" fontId="10" fillId="0" borderId="26" xfId="0" applyFont="1" applyFill="1" applyBorder="1" applyAlignment="1">
      <alignment horizontal="center" textRotation="90" wrapText="1"/>
    </xf>
    <xf numFmtId="179" fontId="3" fillId="0" borderId="56" xfId="0" applyNumberFormat="1" applyFont="1" applyFill="1" applyBorder="1" applyAlignment="1">
      <alignment horizontal="center" vertical="center"/>
    </xf>
    <xf numFmtId="179" fontId="3" fillId="0" borderId="57" xfId="0" applyNumberFormat="1" applyFont="1" applyFill="1" applyBorder="1" applyAlignment="1">
      <alignment horizontal="center" vertical="center"/>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74"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19">
    <dxf>
      <fill>
        <patternFill>
          <bgColor indexed="42"/>
        </patternFill>
      </fill>
    </dxf>
    <dxf>
      <font>
        <color indexed="43"/>
      </font>
    </dxf>
    <dxf>
      <font>
        <b/>
        <i val="0"/>
        <color indexed="9"/>
      </font>
      <fill>
        <patternFill>
          <bgColor indexed="10"/>
        </patternFill>
      </fill>
      <border>
        <left style="thin"/>
        <right style="thin"/>
        <top style="thin"/>
        <bottom style="thin"/>
      </border>
    </dxf>
    <dxf>
      <font>
        <b/>
        <i val="0"/>
        <color indexed="9"/>
      </font>
      <fill>
        <patternFill>
          <bgColor indexed="10"/>
        </patternFill>
      </fill>
    </dxf>
    <dxf>
      <font>
        <color indexed="43"/>
      </font>
    </dxf>
    <dxf>
      <font>
        <b/>
        <i val="0"/>
        <color indexed="9"/>
      </font>
      <fill>
        <patternFill>
          <bgColor indexed="10"/>
        </patternFill>
      </fill>
    </dxf>
    <dxf>
      <font>
        <b/>
        <i val="0"/>
        <color indexed="9"/>
      </font>
      <fill>
        <patternFill>
          <bgColor indexed="10"/>
        </patternFill>
      </fill>
    </dxf>
    <dxf>
      <font>
        <color indexed="43"/>
      </font>
    </dxf>
    <dxf>
      <font>
        <color indexed="43"/>
      </font>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10"/>
      </font>
      <fill>
        <patternFill>
          <bgColor indexed="10"/>
        </patternFill>
      </fill>
    </dxf>
    <dxf>
      <font>
        <b/>
        <i val="0"/>
        <color indexed="9"/>
      </font>
      <fill>
        <patternFill>
          <bgColor indexed="10"/>
        </patternFill>
      </fill>
    </dxf>
    <dxf>
      <font>
        <b/>
        <i val="0"/>
      </font>
    </dxf>
    <dxf>
      <font>
        <b/>
        <i val="0"/>
        <color indexed="9"/>
      </font>
      <fill>
        <patternFill>
          <bgColor indexed="10"/>
        </patternFill>
      </fill>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0</xdr:row>
      <xdr:rowOff>66675</xdr:rowOff>
    </xdr:from>
    <xdr:to>
      <xdr:col>10</xdr:col>
      <xdr:colOff>323850</xdr:colOff>
      <xdr:row>5</xdr:row>
      <xdr:rowOff>66675</xdr:rowOff>
    </xdr:to>
    <xdr:pic>
      <xdr:nvPicPr>
        <xdr:cNvPr id="1" name="Picture 59" descr="Caños-F01"/>
        <xdr:cNvPicPr preferRelativeResize="1">
          <a:picLocks noChangeAspect="1"/>
        </xdr:cNvPicPr>
      </xdr:nvPicPr>
      <xdr:blipFill>
        <a:blip r:embed="rId1"/>
        <a:stretch>
          <a:fillRect/>
        </a:stretch>
      </xdr:blipFill>
      <xdr:spPr>
        <a:xfrm>
          <a:off x="3314700" y="66675"/>
          <a:ext cx="485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I91"/>
  <sheetViews>
    <sheetView showGridLines="0" showRowColHeaders="0" tabSelected="1" zoomScale="160" zoomScaleNormal="160" zoomScalePageLayoutView="0" workbookViewId="0" topLeftCell="B1">
      <pane ySplit="8" topLeftCell="A9" activePane="bottomLeft" state="frozen"/>
      <selection pane="topLeft" activeCell="B1" sqref="B1"/>
      <selection pane="bottomLeft" activeCell="J76" sqref="J76:K76"/>
    </sheetView>
  </sheetViews>
  <sheetFormatPr defaultColWidth="5.28125" defaultRowHeight="12.75"/>
  <cols>
    <col min="1" max="1" width="5.140625" style="6" hidden="1" customWidth="1"/>
    <col min="2" max="2" width="4.7109375" style="6" customWidth="1"/>
    <col min="3" max="3" width="5.28125" style="22" customWidth="1"/>
    <col min="4" max="4" width="5.28125" style="21" customWidth="1"/>
    <col min="5" max="5" width="9.57421875" style="21" customWidth="1"/>
    <col min="6" max="6" width="1.8515625" style="21" customWidth="1"/>
    <col min="7" max="7" width="9.57421875" style="21" customWidth="1"/>
    <col min="8" max="10" width="5.28125" style="21" customWidth="1"/>
    <col min="11" max="11" width="5.28125" style="5" customWidth="1"/>
    <col min="12" max="12" width="10.7109375" style="5" customWidth="1"/>
    <col min="13" max="13" width="1.8515625" style="5" customWidth="1"/>
    <col min="14" max="14" width="10.7109375" style="5" customWidth="1"/>
    <col min="15" max="15" width="4.7109375" style="5" customWidth="1"/>
    <col min="16" max="34" width="5.28125" style="5" customWidth="1"/>
    <col min="35" max="16384" width="5.28125" style="6" customWidth="1"/>
  </cols>
  <sheetData>
    <row r="1" spans="2:16" ht="6" customHeight="1" thickBot="1">
      <c r="B1" s="8"/>
      <c r="C1" s="8"/>
      <c r="D1" s="8"/>
      <c r="E1" s="8"/>
      <c r="F1" s="8"/>
      <c r="G1" s="8"/>
      <c r="H1" s="8"/>
      <c r="I1" s="8"/>
      <c r="J1" s="8"/>
      <c r="K1" s="8"/>
      <c r="L1" s="8"/>
      <c r="M1" s="8"/>
      <c r="N1" s="8"/>
      <c r="O1" s="8"/>
      <c r="P1" s="115"/>
    </row>
    <row r="2" spans="2:16" ht="13.5" customHeight="1" thickTop="1">
      <c r="B2" s="8"/>
      <c r="C2" s="242" t="s">
        <v>173</v>
      </c>
      <c r="D2" s="243"/>
      <c r="E2" s="243"/>
      <c r="F2" s="243"/>
      <c r="G2" s="243"/>
      <c r="H2" s="243"/>
      <c r="I2" s="244"/>
      <c r="J2" s="236"/>
      <c r="K2" s="237"/>
      <c r="L2" s="248" t="s">
        <v>17</v>
      </c>
      <c r="M2" s="248"/>
      <c r="N2" s="248"/>
      <c r="O2" s="4"/>
      <c r="P2" s="115"/>
    </row>
    <row r="3" spans="2:16" ht="13.5" customHeight="1" thickBot="1">
      <c r="B3" s="8"/>
      <c r="C3" s="245"/>
      <c r="D3" s="246"/>
      <c r="E3" s="246"/>
      <c r="F3" s="246"/>
      <c r="G3" s="246"/>
      <c r="H3" s="246"/>
      <c r="I3" s="247"/>
      <c r="J3" s="238"/>
      <c r="K3" s="239"/>
      <c r="L3" s="248"/>
      <c r="M3" s="248"/>
      <c r="N3" s="248"/>
      <c r="O3" s="7"/>
      <c r="P3" s="115"/>
    </row>
    <row r="4" spans="2:16" ht="6" customHeight="1" thickTop="1">
      <c r="B4" s="8"/>
      <c r="C4" s="8"/>
      <c r="D4" s="8"/>
      <c r="E4" s="8"/>
      <c r="F4" s="8"/>
      <c r="G4" s="8"/>
      <c r="H4" s="8"/>
      <c r="I4" s="8"/>
      <c r="J4" s="233"/>
      <c r="K4" s="233"/>
      <c r="L4" s="248"/>
      <c r="M4" s="248"/>
      <c r="N4" s="248"/>
      <c r="O4" s="4"/>
      <c r="P4" s="115"/>
    </row>
    <row r="5" spans="2:16" ht="4.5" customHeight="1">
      <c r="B5" s="1"/>
      <c r="C5" s="8"/>
      <c r="D5" s="3"/>
      <c r="E5" s="3"/>
      <c r="F5" s="3"/>
      <c r="G5" s="3"/>
      <c r="H5" s="8"/>
      <c r="I5" s="3"/>
      <c r="J5" s="233"/>
      <c r="K5" s="233"/>
      <c r="L5" s="233"/>
      <c r="M5" s="233"/>
      <c r="N5" s="233"/>
      <c r="O5" s="4"/>
      <c r="P5" s="115"/>
    </row>
    <row r="6" spans="2:16" ht="12.75" customHeight="1">
      <c r="B6" s="1"/>
      <c r="C6" s="8" t="s">
        <v>16</v>
      </c>
      <c r="D6" s="3"/>
      <c r="E6" s="3"/>
      <c r="F6" s="1"/>
      <c r="G6" s="107" t="s">
        <v>20</v>
      </c>
      <c r="H6" s="240"/>
      <c r="I6" s="241"/>
      <c r="J6" s="252" t="s">
        <v>172</v>
      </c>
      <c r="K6" s="252"/>
      <c r="L6" s="252"/>
      <c r="M6" s="252"/>
      <c r="N6" s="252"/>
      <c r="O6" s="4"/>
      <c r="P6" s="115"/>
    </row>
    <row r="7" spans="2:16" ht="12.75" customHeight="1">
      <c r="B7" s="1"/>
      <c r="C7" s="1"/>
      <c r="D7" s="1"/>
      <c r="E7" s="1"/>
      <c r="F7" s="1"/>
      <c r="G7" s="1"/>
      <c r="H7" s="1"/>
      <c r="I7" s="3"/>
      <c r="J7" s="252"/>
      <c r="K7" s="252"/>
      <c r="L7" s="252"/>
      <c r="M7" s="252"/>
      <c r="N7" s="252"/>
      <c r="O7" s="4"/>
      <c r="P7" s="115"/>
    </row>
    <row r="8" spans="2:16" ht="12.75" customHeight="1">
      <c r="B8" s="1"/>
      <c r="C8" s="109" t="s">
        <v>57</v>
      </c>
      <c r="D8" s="1"/>
      <c r="E8" s="103"/>
      <c r="F8" s="1"/>
      <c r="G8" s="1"/>
      <c r="H8" s="1"/>
      <c r="I8" s="1"/>
      <c r="J8" s="252"/>
      <c r="K8" s="252"/>
      <c r="L8" s="252"/>
      <c r="M8" s="252"/>
      <c r="N8" s="252"/>
      <c r="O8" s="10"/>
      <c r="P8" s="115"/>
    </row>
    <row r="9" spans="2:16" ht="4.5" customHeight="1">
      <c r="B9" s="1"/>
      <c r="C9" s="2"/>
      <c r="D9" s="3"/>
      <c r="E9" s="3"/>
      <c r="F9" s="3"/>
      <c r="G9" s="3"/>
      <c r="H9" s="1"/>
      <c r="I9" s="1"/>
      <c r="J9" s="108"/>
      <c r="K9" s="108"/>
      <c r="L9" s="108"/>
      <c r="M9" s="108"/>
      <c r="N9" s="108"/>
      <c r="O9" s="10"/>
      <c r="P9" s="115"/>
    </row>
    <row r="10" spans="2:16" ht="11.25" customHeight="1">
      <c r="B10" s="1"/>
      <c r="C10" s="31" t="s">
        <v>18</v>
      </c>
      <c r="D10" s="32"/>
      <c r="E10" s="32"/>
      <c r="F10" s="32"/>
      <c r="G10" s="33"/>
      <c r="H10" s="1"/>
      <c r="I10" s="1"/>
      <c r="J10" s="45" t="s">
        <v>27</v>
      </c>
      <c r="K10" s="46"/>
      <c r="L10" s="46"/>
      <c r="M10" s="46"/>
      <c r="N10" s="47"/>
      <c r="O10" s="4"/>
      <c r="P10" s="115"/>
    </row>
    <row r="11" spans="2:16" ht="11.25" customHeight="1">
      <c r="B11" s="1"/>
      <c r="C11" s="34"/>
      <c r="D11" s="35" t="s">
        <v>32</v>
      </c>
      <c r="E11" s="36">
        <f>VLOOKUP($C$28,mm!$A$7:$P$488,6)</f>
        <v>406.4</v>
      </c>
      <c r="F11" s="37" t="s">
        <v>15</v>
      </c>
      <c r="G11" s="38">
        <f>VLOOKUP($C$28,pol!A7:P488,6)</f>
        <v>16</v>
      </c>
      <c r="H11" s="1"/>
      <c r="I11" s="1"/>
      <c r="J11" s="34"/>
      <c r="K11" s="35" t="s">
        <v>36</v>
      </c>
      <c r="L11" s="52">
        <f>VLOOKUP($D$28,mm!$B$506:$P$521,10)</f>
        <v>123.30726503837603</v>
      </c>
      <c r="M11" s="37" t="s">
        <v>15</v>
      </c>
      <c r="N11" s="53">
        <f>VLOOKUP($D$28,pol!$B$506:$P$521,10)</f>
        <v>82.7667475737409</v>
      </c>
      <c r="O11" s="12"/>
      <c r="P11" s="115"/>
    </row>
    <row r="12" spans="2:16" ht="4.5" customHeight="1">
      <c r="B12" s="1"/>
      <c r="C12" s="1"/>
      <c r="D12" s="1"/>
      <c r="E12" s="13"/>
      <c r="F12" s="1"/>
      <c r="G12" s="11"/>
      <c r="H12" s="1"/>
      <c r="I12" s="1"/>
      <c r="J12" s="14"/>
      <c r="K12" s="14"/>
      <c r="L12" s="16"/>
      <c r="M12" s="1"/>
      <c r="N12" s="12"/>
      <c r="O12" s="12"/>
      <c r="P12" s="115"/>
    </row>
    <row r="13" spans="2:16" ht="11.25" customHeight="1">
      <c r="B13" s="1"/>
      <c r="C13" s="39" t="s">
        <v>19</v>
      </c>
      <c r="D13" s="40"/>
      <c r="E13" s="41"/>
      <c r="F13" s="40"/>
      <c r="G13" s="42"/>
      <c r="H13" s="1"/>
      <c r="I13" s="1"/>
      <c r="J13" s="39" t="s">
        <v>55</v>
      </c>
      <c r="K13" s="54"/>
      <c r="L13" s="55"/>
      <c r="M13" s="40"/>
      <c r="N13" s="56"/>
      <c r="O13" s="12"/>
      <c r="P13" s="115"/>
    </row>
    <row r="14" spans="2:16" ht="11.25" customHeight="1">
      <c r="B14" s="1"/>
      <c r="C14" s="34"/>
      <c r="D14" s="43" t="s">
        <v>134</v>
      </c>
      <c r="E14" s="227">
        <f>VLOOKUP($D$28,mm!$B$506:$P$521,6)</f>
        <v>12.7</v>
      </c>
      <c r="F14" s="37" t="s">
        <v>15</v>
      </c>
      <c r="G14" s="228">
        <f>VLOOKUP($D$28,pol!$B$506:$P$521,6)</f>
        <v>0.5</v>
      </c>
      <c r="H14" s="1"/>
      <c r="I14" s="1"/>
      <c r="J14" s="34"/>
      <c r="K14" s="35" t="s">
        <v>37</v>
      </c>
      <c r="L14" s="52">
        <f>VLOOKUP($D$28,mm!$B$506:$P$521,11)</f>
        <v>114.009182796937</v>
      </c>
      <c r="M14" s="37" t="s">
        <v>15</v>
      </c>
      <c r="N14" s="53">
        <f>VLOOKUP($D$28,pol!$B$506:$P$521,11)</f>
        <v>76.6237476108966</v>
      </c>
      <c r="O14" s="12"/>
      <c r="P14" s="115"/>
    </row>
    <row r="15" spans="2:16" ht="4.5" customHeight="1">
      <c r="B15" s="1"/>
      <c r="C15" s="2"/>
      <c r="D15" s="2"/>
      <c r="E15" s="13"/>
      <c r="F15" s="1"/>
      <c r="G15" s="11"/>
      <c r="H15" s="1"/>
      <c r="I15" s="1"/>
      <c r="J15" s="14"/>
      <c r="K15" s="14"/>
      <c r="L15" s="16"/>
      <c r="M15" s="1"/>
      <c r="N15" s="12"/>
      <c r="O15" s="12"/>
      <c r="P15" s="115"/>
    </row>
    <row r="16" spans="2:16" ht="11.25" customHeight="1">
      <c r="B16" s="1"/>
      <c r="C16" s="31" t="s">
        <v>21</v>
      </c>
      <c r="D16" s="44"/>
      <c r="E16" s="41"/>
      <c r="F16" s="40"/>
      <c r="G16" s="42"/>
      <c r="H16" s="1"/>
      <c r="I16" s="1"/>
      <c r="J16" s="39" t="s">
        <v>28</v>
      </c>
      <c r="K16" s="54"/>
      <c r="L16" s="55"/>
      <c r="M16" s="40"/>
      <c r="N16" s="56"/>
      <c r="O16" s="12"/>
      <c r="P16" s="115"/>
    </row>
    <row r="17" spans="2:16" ht="11.25" customHeight="1">
      <c r="B17" s="1"/>
      <c r="C17" s="34"/>
      <c r="D17" s="35" t="s">
        <v>33</v>
      </c>
      <c r="E17" s="36">
        <f>VLOOKUP($D$28,mm!$B$506:$P$521,7)</f>
        <v>381</v>
      </c>
      <c r="F17" s="37" t="s">
        <v>15</v>
      </c>
      <c r="G17" s="38">
        <f>VLOOKUP($D$28,pol!$B$506:$P$521,7)</f>
        <v>15</v>
      </c>
      <c r="H17" s="1"/>
      <c r="I17" s="1"/>
      <c r="J17" s="34"/>
      <c r="K17" s="35" t="s">
        <v>54</v>
      </c>
      <c r="L17" s="52">
        <f>VLOOKUP($D$28,mm!$B$506:$P$521,12)</f>
        <v>237.31644783531303</v>
      </c>
      <c r="M17" s="37" t="s">
        <v>15</v>
      </c>
      <c r="N17" s="53">
        <f>VLOOKUP($D$28,pol!$B$506:$P$521,12)</f>
        <v>159.3904951846375</v>
      </c>
      <c r="O17" s="12"/>
      <c r="P17" s="115"/>
    </row>
    <row r="18" spans="2:16" ht="4.5" customHeight="1">
      <c r="B18" s="1"/>
      <c r="C18" s="14"/>
      <c r="D18" s="14"/>
      <c r="E18" s="13"/>
      <c r="F18" s="1"/>
      <c r="G18" s="11"/>
      <c r="H18" s="1"/>
      <c r="I18" s="1"/>
      <c r="J18" s="3"/>
      <c r="K18" s="4"/>
      <c r="L18" s="4"/>
      <c r="M18" s="4"/>
      <c r="N18" s="4"/>
      <c r="O18" s="4"/>
      <c r="P18" s="115"/>
    </row>
    <row r="19" spans="2:16" ht="11.25" customHeight="1">
      <c r="B19" s="1"/>
      <c r="C19" s="45" t="s">
        <v>22</v>
      </c>
      <c r="D19" s="46"/>
      <c r="E19" s="46"/>
      <c r="F19" s="46"/>
      <c r="G19" s="47"/>
      <c r="H19" s="1"/>
      <c r="I19" s="1"/>
      <c r="J19" s="45" t="s">
        <v>24</v>
      </c>
      <c r="K19" s="46"/>
      <c r="L19" s="46"/>
      <c r="M19" s="46"/>
      <c r="N19" s="47"/>
      <c r="O19" s="4"/>
      <c r="P19" s="115"/>
    </row>
    <row r="20" spans="2:16" ht="11.25" customHeight="1">
      <c r="B20" s="1"/>
      <c r="C20" s="34"/>
      <c r="D20" s="35" t="s">
        <v>34</v>
      </c>
      <c r="E20" s="48">
        <f>VLOOKUP($D$28,mm!$B$506:$P$521,8)</f>
        <v>157.07931852022423</v>
      </c>
      <c r="F20" s="37" t="s">
        <v>15</v>
      </c>
      <c r="G20" s="49">
        <f>VLOOKUP($D$28,pol!$B$506:$P$521,8)</f>
        <v>24.347343065320896</v>
      </c>
      <c r="H20" s="1"/>
      <c r="I20" s="1"/>
      <c r="J20" s="34"/>
      <c r="K20" s="35" t="s">
        <v>29</v>
      </c>
      <c r="L20" s="57">
        <f>VLOOKUP($D$28,mm!$B$506:$P$521,12)</f>
        <v>237.31644783531303</v>
      </c>
      <c r="M20" s="37" t="s">
        <v>15</v>
      </c>
      <c r="N20" s="58">
        <f>VLOOKUP($D$28,pol!$B$506:$P$521,12)</f>
        <v>159.3904951846375</v>
      </c>
      <c r="O20" s="17"/>
      <c r="P20" s="115"/>
    </row>
    <row r="21" spans="2:16" ht="4.5" customHeight="1">
      <c r="B21" s="1"/>
      <c r="C21" s="1"/>
      <c r="D21" s="1"/>
      <c r="E21" s="9"/>
      <c r="F21" s="1"/>
      <c r="G21" s="10"/>
      <c r="H21" s="1"/>
      <c r="I21" s="1"/>
      <c r="J21" s="14"/>
      <c r="K21" s="14"/>
      <c r="L21" s="18"/>
      <c r="M21" s="1"/>
      <c r="N21" s="17"/>
      <c r="O21" s="17"/>
      <c r="P21" s="115"/>
    </row>
    <row r="22" spans="2:16" ht="11.25" customHeight="1">
      <c r="B22" s="1"/>
      <c r="C22" s="39" t="s">
        <v>23</v>
      </c>
      <c r="D22" s="40"/>
      <c r="E22" s="50"/>
      <c r="F22" s="40"/>
      <c r="G22" s="51"/>
      <c r="H22" s="1"/>
      <c r="I22" s="1"/>
      <c r="J22" s="39" t="s">
        <v>25</v>
      </c>
      <c r="K22" s="54"/>
      <c r="L22" s="59"/>
      <c r="M22" s="40"/>
      <c r="N22" s="61"/>
      <c r="O22" s="17"/>
      <c r="P22" s="115"/>
    </row>
    <row r="23" spans="2:16" ht="11.25" customHeight="1">
      <c r="B23" s="1"/>
      <c r="C23" s="34"/>
      <c r="D23" s="35" t="s">
        <v>35</v>
      </c>
      <c r="E23" s="48">
        <f>VLOOKUP($D$28,mm!$B$506:$P$521,9)</f>
        <v>1140.09182796937</v>
      </c>
      <c r="F23" s="37" t="s">
        <v>15</v>
      </c>
      <c r="G23" s="49">
        <f>VLOOKUP($D$28,pol!$B$506:$P$521,9)</f>
        <v>176.71458676442586</v>
      </c>
      <c r="H23" s="1"/>
      <c r="I23" s="1"/>
      <c r="J23" s="34"/>
      <c r="K23" s="35" t="s">
        <v>30</v>
      </c>
      <c r="L23" s="62">
        <f>VLOOKUP($D$28,mm!$B$506:$P$521,13)</f>
        <v>237.31644783531303</v>
      </c>
      <c r="M23" s="37" t="s">
        <v>15</v>
      </c>
      <c r="N23" s="63">
        <f>VLOOKUP($D$28,pol!$B$506:$P$521,13)</f>
        <v>159.3904951846375</v>
      </c>
      <c r="O23" s="19"/>
      <c r="P23" s="115"/>
    </row>
    <row r="24" spans="2:16" ht="4.5" customHeight="1">
      <c r="B24" s="1"/>
      <c r="C24" s="1"/>
      <c r="D24" s="1"/>
      <c r="E24" s="1"/>
      <c r="F24" s="1"/>
      <c r="G24" s="1"/>
      <c r="H24" s="1"/>
      <c r="I24" s="1"/>
      <c r="J24" s="14"/>
      <c r="K24" s="14"/>
      <c r="L24" s="20"/>
      <c r="M24" s="1"/>
      <c r="N24" s="19"/>
      <c r="O24" s="19"/>
      <c r="P24" s="115"/>
    </row>
    <row r="25" spans="2:16" ht="11.25" customHeight="1">
      <c r="B25" s="1"/>
      <c r="C25" s="2"/>
      <c r="D25" s="3"/>
      <c r="E25" s="3"/>
      <c r="F25" s="3"/>
      <c r="G25" s="3"/>
      <c r="H25" s="1"/>
      <c r="I25" s="1"/>
      <c r="J25" s="39" t="s">
        <v>26</v>
      </c>
      <c r="K25" s="54"/>
      <c r="L25" s="64"/>
      <c r="M25" s="40"/>
      <c r="N25" s="65"/>
      <c r="O25" s="19"/>
      <c r="P25" s="115"/>
    </row>
    <row r="26" spans="2:16" ht="11.25" customHeight="1">
      <c r="B26" s="1"/>
      <c r="C26" s="2"/>
      <c r="D26" s="3"/>
      <c r="E26" s="3"/>
      <c r="F26" s="3"/>
      <c r="G26" s="3"/>
      <c r="H26" s="1"/>
      <c r="I26" s="1"/>
      <c r="J26" s="34"/>
      <c r="K26" s="35" t="s">
        <v>31</v>
      </c>
      <c r="L26" s="66">
        <f>VLOOKUP($D$28,mm!$B$506:$P$521,14)</f>
        <v>30465.72624916266</v>
      </c>
      <c r="M26" s="37" t="s">
        <v>15</v>
      </c>
      <c r="N26" s="38">
        <f>VLOOKUP($D$28,pol!$B$506:$P$521,14)</f>
        <v>731.9420009012094</v>
      </c>
      <c r="O26" s="11"/>
      <c r="P26" s="115"/>
    </row>
    <row r="27" spans="2:16" ht="4.5" customHeight="1">
      <c r="B27" s="1"/>
      <c r="C27" s="2"/>
      <c r="D27" s="3"/>
      <c r="E27" s="3"/>
      <c r="F27" s="3"/>
      <c r="G27" s="3"/>
      <c r="H27" s="1"/>
      <c r="I27" s="1"/>
      <c r="J27" s="1"/>
      <c r="K27" s="1"/>
      <c r="L27" s="1"/>
      <c r="M27" s="1"/>
      <c r="N27" s="1"/>
      <c r="O27" s="1"/>
      <c r="P27" s="115"/>
    </row>
    <row r="28" spans="2:31" ht="11.25" hidden="1">
      <c r="B28" s="165"/>
      <c r="C28" s="166">
        <v>20</v>
      </c>
      <c r="D28" s="167">
        <v>8</v>
      </c>
      <c r="E28" s="168"/>
      <c r="F28" s="169"/>
      <c r="G28" s="170"/>
      <c r="H28" s="170"/>
      <c r="I28" s="170"/>
      <c r="J28" s="169"/>
      <c r="K28" s="169"/>
      <c r="L28" s="170"/>
      <c r="M28" s="170"/>
      <c r="N28" s="170"/>
      <c r="O28" s="170"/>
      <c r="P28" s="115"/>
      <c r="Q28" s="6"/>
      <c r="R28" s="6"/>
      <c r="S28" s="6"/>
      <c r="T28" s="6"/>
      <c r="U28" s="6"/>
      <c r="V28" s="6"/>
      <c r="W28" s="6"/>
      <c r="X28" s="6"/>
      <c r="Y28" s="6"/>
      <c r="Z28" s="6"/>
      <c r="AA28" s="6"/>
      <c r="AB28" s="6"/>
      <c r="AE28" s="6"/>
    </row>
    <row r="29" spans="2:31" ht="11.25" hidden="1">
      <c r="B29" s="171"/>
      <c r="C29" s="172">
        <v>0.125</v>
      </c>
      <c r="D29" s="173"/>
      <c r="E29" s="169"/>
      <c r="F29" s="169"/>
      <c r="G29" s="170"/>
      <c r="H29" s="170"/>
      <c r="I29" s="170"/>
      <c r="J29" s="169"/>
      <c r="K29" s="169"/>
      <c r="L29" s="170"/>
      <c r="M29" s="170"/>
      <c r="N29" s="170"/>
      <c r="O29" s="170"/>
      <c r="P29" s="115"/>
      <c r="Q29" s="6"/>
      <c r="R29" s="6"/>
      <c r="S29" s="6"/>
      <c r="T29" s="6"/>
      <c r="U29" s="6"/>
      <c r="V29" s="6"/>
      <c r="W29" s="6"/>
      <c r="X29" s="6"/>
      <c r="Y29" s="6"/>
      <c r="Z29" s="6"/>
      <c r="AA29" s="6"/>
      <c r="AB29" s="6"/>
      <c r="AE29" s="6"/>
    </row>
    <row r="30" spans="2:31" ht="11.25" hidden="1">
      <c r="B30" s="171"/>
      <c r="C30" s="172">
        <v>0.25</v>
      </c>
      <c r="D30" s="173"/>
      <c r="E30" s="169"/>
      <c r="F30" s="169"/>
      <c r="G30" s="170"/>
      <c r="H30" s="170"/>
      <c r="I30" s="170"/>
      <c r="J30" s="169"/>
      <c r="K30" s="169"/>
      <c r="L30" s="169"/>
      <c r="M30" s="170"/>
      <c r="N30" s="170"/>
      <c r="O30" s="170"/>
      <c r="P30" s="115"/>
      <c r="Q30" s="6"/>
      <c r="R30" s="6"/>
      <c r="S30" s="6"/>
      <c r="T30" s="6"/>
      <c r="U30" s="6"/>
      <c r="V30" s="6"/>
      <c r="W30" s="6"/>
      <c r="X30" s="6"/>
      <c r="Y30" s="6"/>
      <c r="Z30" s="6"/>
      <c r="AA30" s="6"/>
      <c r="AB30" s="6"/>
      <c r="AE30" s="6"/>
    </row>
    <row r="31" spans="2:31" ht="11.25" hidden="1">
      <c r="B31" s="171"/>
      <c r="C31" s="172">
        <v>0.375</v>
      </c>
      <c r="D31" s="173"/>
      <c r="E31" s="169"/>
      <c r="F31" s="169"/>
      <c r="G31" s="170"/>
      <c r="H31" s="170"/>
      <c r="I31" s="170"/>
      <c r="J31" s="169"/>
      <c r="K31" s="169"/>
      <c r="L31" s="169"/>
      <c r="M31" s="174"/>
      <c r="N31" s="174"/>
      <c r="O31" s="174"/>
      <c r="P31" s="115"/>
      <c r="Q31" s="6"/>
      <c r="R31" s="6"/>
      <c r="S31" s="6"/>
      <c r="T31" s="6"/>
      <c r="U31" s="6"/>
      <c r="V31" s="6"/>
      <c r="W31" s="6"/>
      <c r="X31" s="6"/>
      <c r="Y31" s="6"/>
      <c r="Z31" s="6"/>
      <c r="AA31" s="6"/>
      <c r="AB31" s="6"/>
      <c r="AE31" s="6"/>
    </row>
    <row r="32" spans="2:31" ht="11.25" hidden="1">
      <c r="B32" s="171"/>
      <c r="C32" s="172">
        <v>0.5</v>
      </c>
      <c r="D32" s="173"/>
      <c r="E32" s="169"/>
      <c r="F32" s="169"/>
      <c r="G32" s="170"/>
      <c r="I32" s="170"/>
      <c r="J32" s="169"/>
      <c r="K32" s="169"/>
      <c r="L32" s="169"/>
      <c r="M32" s="174"/>
      <c r="N32" s="174"/>
      <c r="O32" s="174"/>
      <c r="P32" s="115"/>
      <c r="Q32" s="6"/>
      <c r="R32" s="6"/>
      <c r="S32" s="6"/>
      <c r="T32" s="6"/>
      <c r="U32" s="6"/>
      <c r="V32" s="6"/>
      <c r="W32" s="6"/>
      <c r="X32" s="6"/>
      <c r="Y32" s="6"/>
      <c r="Z32" s="6"/>
      <c r="AA32" s="6"/>
      <c r="AB32" s="6"/>
      <c r="AE32" s="6"/>
    </row>
    <row r="33" spans="2:28" ht="11.25" hidden="1">
      <c r="B33" s="171"/>
      <c r="C33" s="172">
        <v>0.75</v>
      </c>
      <c r="D33" s="173"/>
      <c r="E33" s="169"/>
      <c r="F33" s="169"/>
      <c r="H33" s="169"/>
      <c r="I33" s="169"/>
      <c r="J33" s="169"/>
      <c r="K33" s="169"/>
      <c r="L33" s="169"/>
      <c r="M33" s="175"/>
      <c r="N33" s="175"/>
      <c r="O33" s="174"/>
      <c r="P33" s="115"/>
      <c r="Q33" s="6"/>
      <c r="R33" s="6"/>
      <c r="S33" s="6"/>
      <c r="T33" s="6"/>
      <c r="U33" s="6"/>
      <c r="V33" s="6"/>
      <c r="W33" s="6"/>
      <c r="X33" s="6"/>
      <c r="Y33" s="6"/>
      <c r="Z33" s="6"/>
      <c r="AA33" s="6"/>
      <c r="AB33" s="6"/>
    </row>
    <row r="34" spans="2:28" ht="11.25" hidden="1">
      <c r="B34" s="171"/>
      <c r="C34" s="176">
        <v>1</v>
      </c>
      <c r="D34" s="173"/>
      <c r="E34" s="169"/>
      <c r="F34" s="169"/>
      <c r="G34" s="182">
        <f>IF($K$67=0,0,(J84*H84/(2*(K74*K67+J84*J75))*10))</f>
        <v>11.989744815157762</v>
      </c>
      <c r="H34" s="169"/>
      <c r="I34" s="169"/>
      <c r="J34" s="253">
        <v>1</v>
      </c>
      <c r="K34" s="254"/>
      <c r="L34" s="177"/>
      <c r="M34" s="178"/>
      <c r="N34" s="175"/>
      <c r="O34" s="174"/>
      <c r="P34" s="115"/>
      <c r="R34" s="6"/>
      <c r="S34" s="6"/>
      <c r="T34" s="6"/>
      <c r="U34" s="6"/>
      <c r="V34" s="6"/>
      <c r="W34" s="6"/>
      <c r="X34" s="6"/>
      <c r="Y34" s="6"/>
      <c r="Z34" s="6"/>
      <c r="AA34" s="6"/>
      <c r="AB34" s="6"/>
    </row>
    <row r="35" spans="2:28" ht="11.25" hidden="1">
      <c r="B35" s="171"/>
      <c r="C35" s="172">
        <v>1.25</v>
      </c>
      <c r="D35" s="179"/>
      <c r="E35" s="169"/>
      <c r="F35" s="169"/>
      <c r="G35" s="217">
        <f>G34+N84</f>
        <v>13.189744815157761</v>
      </c>
      <c r="H35" s="169"/>
      <c r="I35" s="169"/>
      <c r="J35" s="180">
        <v>1</v>
      </c>
      <c r="K35" s="173">
        <v>100</v>
      </c>
      <c r="L35" s="181">
        <f>VLOOKUP($G$38,Material!$A$8:$AC$1019,6)</f>
        <v>20</v>
      </c>
      <c r="M35" s="174"/>
      <c r="N35" s="174"/>
      <c r="O35" s="174"/>
      <c r="P35" s="115"/>
      <c r="R35" s="6"/>
      <c r="S35" s="6"/>
      <c r="T35" s="6"/>
      <c r="U35" s="6"/>
      <c r="V35" s="6"/>
      <c r="W35" s="6"/>
      <c r="X35" s="6"/>
      <c r="Y35" s="6"/>
      <c r="Z35" s="6"/>
      <c r="AA35" s="6"/>
      <c r="AB35" s="6"/>
    </row>
    <row r="36" spans="2:28" ht="11.25" hidden="1">
      <c r="B36" s="171"/>
      <c r="C36" s="172">
        <v>1.5</v>
      </c>
      <c r="D36" s="173"/>
      <c r="E36" s="169"/>
      <c r="F36" s="169"/>
      <c r="G36" s="218"/>
      <c r="H36" s="169"/>
      <c r="I36" s="169"/>
      <c r="J36" s="180">
        <v>2</v>
      </c>
      <c r="K36" s="173">
        <v>200</v>
      </c>
      <c r="L36" s="181">
        <f>VLOOKUP($G$38,Material!$A$8:$AC$1019,7)</f>
        <v>20</v>
      </c>
      <c r="M36" s="174"/>
      <c r="N36" s="174"/>
      <c r="O36" s="174"/>
      <c r="P36" s="115"/>
      <c r="R36" s="6"/>
      <c r="S36" s="6"/>
      <c r="T36" s="6"/>
      <c r="U36" s="6"/>
      <c r="V36" s="6"/>
      <c r="W36" s="6"/>
      <c r="X36" s="6"/>
      <c r="Y36" s="6"/>
      <c r="Z36" s="6"/>
      <c r="AA36" s="6"/>
      <c r="AB36" s="6"/>
    </row>
    <row r="37" spans="2:28" ht="11.25" hidden="1">
      <c r="B37" s="171"/>
      <c r="C37" s="176">
        <v>2</v>
      </c>
      <c r="D37" s="173"/>
      <c r="E37" s="169"/>
      <c r="F37" s="169"/>
      <c r="G37" s="193"/>
      <c r="H37" s="169"/>
      <c r="I37" s="169"/>
      <c r="J37" s="180">
        <v>3</v>
      </c>
      <c r="K37" s="173">
        <v>300</v>
      </c>
      <c r="L37" s="181">
        <f>VLOOKUP($G$38,Material!$A$8:$AC$1019,8)</f>
        <v>20</v>
      </c>
      <c r="M37" s="174"/>
      <c r="N37" s="174"/>
      <c r="O37" s="174"/>
      <c r="P37" s="115"/>
      <c r="U37" s="6"/>
      <c r="V37" s="6"/>
      <c r="W37" s="6"/>
      <c r="X37" s="6"/>
      <c r="Y37" s="6"/>
      <c r="Z37" s="6"/>
      <c r="AA37" s="6"/>
      <c r="AB37" s="6"/>
    </row>
    <row r="38" spans="2:28" ht="11.25" hidden="1">
      <c r="B38" s="171"/>
      <c r="C38" s="172">
        <v>2.5</v>
      </c>
      <c r="D38" s="186"/>
      <c r="E38" s="180"/>
      <c r="F38" s="173"/>
      <c r="G38" s="177">
        <v>21</v>
      </c>
      <c r="H38" s="183">
        <f>VLOOKUP($G$38,Material!$A$8:$W$28,5)</f>
        <v>35</v>
      </c>
      <c r="I38" s="188">
        <v>2</v>
      </c>
      <c r="J38" s="180">
        <v>4</v>
      </c>
      <c r="K38" s="173">
        <v>400</v>
      </c>
      <c r="L38" s="181">
        <f>VLOOKUP($G$38,Material!$A$8:$AC$1019,9)</f>
        <v>20</v>
      </c>
      <c r="M38" s="174"/>
      <c r="N38" s="174"/>
      <c r="O38" s="174"/>
      <c r="P38" s="115"/>
      <c r="U38" s="6"/>
      <c r="V38" s="6"/>
      <c r="W38" s="6"/>
      <c r="X38" s="6"/>
      <c r="Y38" s="6"/>
      <c r="Z38" s="6"/>
      <c r="AA38" s="6"/>
      <c r="AB38" s="6"/>
    </row>
    <row r="39" spans="2:28" ht="11.25" hidden="1">
      <c r="B39" s="171"/>
      <c r="C39" s="176">
        <v>3</v>
      </c>
      <c r="D39" s="186"/>
      <c r="E39" s="180"/>
      <c r="F39" s="173"/>
      <c r="G39" s="208">
        <v>7</v>
      </c>
      <c r="H39" s="183"/>
      <c r="I39" s="177"/>
      <c r="J39" s="180">
        <v>5</v>
      </c>
      <c r="K39" s="173">
        <v>500</v>
      </c>
      <c r="L39" s="181">
        <f>VLOOKUP($G$38,Material!$A$8:$AC$1019,10)</f>
        <v>18.9</v>
      </c>
      <c r="M39" s="174"/>
      <c r="N39" s="174"/>
      <c r="O39" s="174"/>
      <c r="P39" s="115"/>
      <c r="U39" s="6"/>
      <c r="V39" s="6"/>
      <c r="W39" s="6"/>
      <c r="X39" s="6"/>
      <c r="Y39" s="6"/>
      <c r="Z39" s="6"/>
      <c r="AA39" s="6"/>
      <c r="AB39" s="6"/>
    </row>
    <row r="40" spans="2:23" ht="11.25" hidden="1">
      <c r="B40" s="171"/>
      <c r="C40" s="172">
        <v>3.5</v>
      </c>
      <c r="D40" s="186"/>
      <c r="E40" s="180"/>
      <c r="F40" s="173"/>
      <c r="G40" s="209" t="s">
        <v>71</v>
      </c>
      <c r="H40" s="184">
        <f>VLOOKUP($G$38,Material!$A$8:$AR$1019,31)</f>
        <v>1</v>
      </c>
      <c r="I40" s="184" t="str">
        <f>IF(H40=0,G47,VLOOKUP($G$38,Material!$A$8:$AR$1019,32))</f>
        <v> </v>
      </c>
      <c r="J40" s="180">
        <v>6</v>
      </c>
      <c r="K40" s="173">
        <v>600</v>
      </c>
      <c r="L40" s="181">
        <f>VLOOKUP($G$38,Material!$A$8:$AC$1019,11)</f>
        <v>17.3</v>
      </c>
      <c r="M40" s="174"/>
      <c r="N40" s="174"/>
      <c r="O40" s="174"/>
      <c r="P40" s="115"/>
      <c r="U40" s="6"/>
      <c r="V40" s="6"/>
      <c r="W40" s="6"/>
    </row>
    <row r="41" spans="2:35" ht="11.25" hidden="1">
      <c r="B41" s="171"/>
      <c r="C41" s="176">
        <v>4</v>
      </c>
      <c r="D41" s="186"/>
      <c r="E41" s="180"/>
      <c r="F41" s="173"/>
      <c r="G41" s="209" t="s">
        <v>63</v>
      </c>
      <c r="H41" s="184">
        <f>VLOOKUP($G$38,Material!$A$8:$AR$1019,33)</f>
        <v>0.85</v>
      </c>
      <c r="I41" s="184" t="str">
        <f>IF(H41=0,G47,VLOOKUP($G$38,Material!$A$8:$AR$1019,34))</f>
        <v> </v>
      </c>
      <c r="J41" s="180">
        <v>7</v>
      </c>
      <c r="K41" s="173">
        <v>650</v>
      </c>
      <c r="L41" s="181">
        <f>VLOOKUP($G$38,Material!$A$8:$AC$1019,12)</f>
        <v>17</v>
      </c>
      <c r="M41" s="174"/>
      <c r="N41" s="185"/>
      <c r="O41" s="185"/>
      <c r="P41" s="115"/>
      <c r="V41" s="6"/>
      <c r="AI41" s="5"/>
    </row>
    <row r="42" spans="2:35" ht="11.25" hidden="1">
      <c r="B42" s="171"/>
      <c r="C42" s="176">
        <v>5</v>
      </c>
      <c r="D42" s="186"/>
      <c r="E42" s="180"/>
      <c r="F42" s="173"/>
      <c r="G42" s="210" t="s">
        <v>96</v>
      </c>
      <c r="H42" s="184">
        <f>VLOOKUP($G$38,Material!$A$8:$AR$1019,35)</f>
        <v>0</v>
      </c>
      <c r="I42" s="184" t="str">
        <f>IF(H42=0,G47,VLOOKUP($G$38,Material!$A$8:$AR$1019,36))</f>
        <v>O tipo de solda não se aplica a este material</v>
      </c>
      <c r="J42" s="180">
        <v>8</v>
      </c>
      <c r="K42" s="173">
        <v>700</v>
      </c>
      <c r="L42" s="181">
        <f>VLOOKUP($G$38,Material!$A$8:$AC$1019,13)</f>
        <v>16.5</v>
      </c>
      <c r="M42" s="174"/>
      <c r="N42" s="175"/>
      <c r="O42" s="175"/>
      <c r="P42" s="115"/>
      <c r="AI42" s="5"/>
    </row>
    <row r="43" spans="2:35" ht="11.25" hidden="1">
      <c r="B43" s="171"/>
      <c r="C43" s="176">
        <v>6</v>
      </c>
      <c r="D43" s="211"/>
      <c r="E43" s="180"/>
      <c r="F43" s="173"/>
      <c r="G43" s="210" t="s">
        <v>64</v>
      </c>
      <c r="H43" s="184">
        <f>VLOOKUP($G$38,Material!$A$8:$AR$1019,37)</f>
        <v>0.95</v>
      </c>
      <c r="I43" s="184" t="str">
        <f>IF(H43=0,G47,VLOOKUP($G$38,Material!$A$8:$AR$1019,38))</f>
        <v> </v>
      </c>
      <c r="J43" s="180">
        <v>9</v>
      </c>
      <c r="K43" s="173">
        <v>750</v>
      </c>
      <c r="L43" s="181">
        <f>VLOOKUP($G$38,Material!$A$8:$AC$1019,14)</f>
        <v>13</v>
      </c>
      <c r="M43" s="174"/>
      <c r="N43" s="175"/>
      <c r="O43" s="175"/>
      <c r="P43" s="115"/>
      <c r="AI43" s="5"/>
    </row>
    <row r="44" spans="2:35" ht="11.25" hidden="1">
      <c r="B44" s="171"/>
      <c r="C44" s="176">
        <v>8</v>
      </c>
      <c r="D44" s="173"/>
      <c r="E44" s="186"/>
      <c r="F44" s="186"/>
      <c r="G44" s="180" t="s">
        <v>102</v>
      </c>
      <c r="H44" s="184">
        <f>VLOOKUP($G$38,Material!$A$8:$AR$1019,39)</f>
        <v>0</v>
      </c>
      <c r="I44" s="184" t="str">
        <f>IF(H44=0,G47,VLOOKUP($G$38,Material!$A$8:$AR$1019,40))</f>
        <v>O tipo de solda não se aplica a este material</v>
      </c>
      <c r="J44" s="180">
        <v>10</v>
      </c>
      <c r="K44" s="173">
        <v>800</v>
      </c>
      <c r="L44" s="181">
        <f>VLOOKUP($G$38,Material!$A$8:$AC$1019,15)</f>
        <v>10.8</v>
      </c>
      <c r="M44" s="174"/>
      <c r="N44" s="175"/>
      <c r="O44" s="175"/>
      <c r="P44" s="115"/>
      <c r="AI44" s="5"/>
    </row>
    <row r="45" spans="2:35" ht="11.25" hidden="1">
      <c r="B45" s="171"/>
      <c r="C45" s="176">
        <v>10</v>
      </c>
      <c r="D45" s="173"/>
      <c r="E45" s="186"/>
      <c r="F45" s="186"/>
      <c r="G45" s="180" t="s">
        <v>97</v>
      </c>
      <c r="H45" s="184">
        <f>VLOOKUP($G$38,Material!$A$8:$AR$1019,41)</f>
        <v>0</v>
      </c>
      <c r="I45" s="184" t="str">
        <f>IF(H45=0,G47,VLOOKUP($G$38,Material!$A$8:$AR$1019,42))</f>
        <v>O tipo de solda não se aplica a este material</v>
      </c>
      <c r="J45" s="180">
        <v>11</v>
      </c>
      <c r="K45" s="173">
        <v>850</v>
      </c>
      <c r="L45" s="181">
        <f>VLOOKUP($G$38,Material!$A$8:$AC$1019,16)</f>
        <v>8.7</v>
      </c>
      <c r="M45" s="174"/>
      <c r="N45" s="175"/>
      <c r="O45" s="175"/>
      <c r="P45" s="115"/>
      <c r="AI45" s="5"/>
    </row>
    <row r="46" spans="2:35" ht="11.25" hidden="1">
      <c r="B46" s="171"/>
      <c r="C46" s="176">
        <v>12</v>
      </c>
      <c r="D46" s="173"/>
      <c r="E46" s="186"/>
      <c r="F46" s="186"/>
      <c r="G46" s="187" t="s">
        <v>65</v>
      </c>
      <c r="H46" s="184">
        <f>VLOOKUP($G$38,Material!$A$8:$AR$1019,43)</f>
        <v>0.6</v>
      </c>
      <c r="I46" s="184" t="str">
        <f>IF(H46=0,G47,VLOOKUP($G$38,Material!$A$8:$AR$1019,44))</f>
        <v> </v>
      </c>
      <c r="J46" s="180">
        <v>12</v>
      </c>
      <c r="K46" s="173">
        <v>900</v>
      </c>
      <c r="L46" s="181">
        <f>VLOOKUP($G$38,Material!$A$8:$AC$1019,17)</f>
        <v>6.5</v>
      </c>
      <c r="M46" s="174"/>
      <c r="N46" s="175"/>
      <c r="O46" s="175"/>
      <c r="P46" s="115"/>
      <c r="AI46" s="5"/>
    </row>
    <row r="47" spans="2:35" ht="11.25" hidden="1">
      <c r="B47" s="171"/>
      <c r="C47" s="176">
        <v>14</v>
      </c>
      <c r="D47" s="173"/>
      <c r="E47" s="186"/>
      <c r="F47" s="186"/>
      <c r="G47" s="180" t="s">
        <v>145</v>
      </c>
      <c r="H47" s="169"/>
      <c r="I47" s="169"/>
      <c r="J47" s="180">
        <v>13</v>
      </c>
      <c r="K47" s="173">
        <v>950</v>
      </c>
      <c r="L47" s="181">
        <f>VLOOKUP($G$38,Material!$A$8:$AC$1019,18)</f>
        <v>4.5</v>
      </c>
      <c r="M47" s="174"/>
      <c r="N47" s="175"/>
      <c r="O47" s="175"/>
      <c r="P47" s="115"/>
      <c r="AI47" s="5"/>
    </row>
    <row r="48" spans="2:35" ht="11.25" hidden="1">
      <c r="B48" s="171"/>
      <c r="C48" s="176">
        <v>16</v>
      </c>
      <c r="D48" s="173"/>
      <c r="E48" s="186"/>
      <c r="F48" s="186"/>
      <c r="G48" s="188" t="str">
        <f>VLOOKUP($G$38,Material!$A$8:$AD$106,30)</f>
        <v>For minimum temperature see patagraph 323.2.2(b) and the applicable curve in Fig. 323.2.2A of the Code.
(57) Conversion of carbides to graphite may occur after prolonged exposure to temperatures over 427°C (800°F). See para. F323.4(b)(2).
(59) For temperatures above 482ºC (900ºF), consider the advantages of killed steel. See para. F323.4(b)(4).
(77) [Table with CSA (Canadian Standards Association) equivalences]</v>
      </c>
      <c r="H48" s="189" t="s">
        <v>72</v>
      </c>
      <c r="I48" s="190"/>
      <c r="J48" s="180">
        <v>14</v>
      </c>
      <c r="K48" s="173">
        <v>1000</v>
      </c>
      <c r="L48" s="181">
        <f>VLOOKUP($G$38,Material!$A$8:$AC$1019,19)</f>
        <v>2.5</v>
      </c>
      <c r="M48" s="174"/>
      <c r="N48" s="175"/>
      <c r="O48" s="175"/>
      <c r="P48" s="115"/>
      <c r="AI48" s="5"/>
    </row>
    <row r="49" spans="2:35" ht="11.25" hidden="1">
      <c r="B49" s="171"/>
      <c r="C49" s="176">
        <v>18</v>
      </c>
      <c r="D49" s="173"/>
      <c r="E49" s="186"/>
      <c r="F49" s="173"/>
      <c r="G49" s="182">
        <v>4</v>
      </c>
      <c r="H49" s="191" t="s">
        <v>113</v>
      </c>
      <c r="I49" s="177">
        <v>2</v>
      </c>
      <c r="J49" s="180">
        <v>15</v>
      </c>
      <c r="K49" s="173">
        <v>1050</v>
      </c>
      <c r="L49" s="181">
        <f>VLOOKUP($G$38,Material!$A$8:$AC$1019,20)</f>
        <v>1.6</v>
      </c>
      <c r="M49" s="174"/>
      <c r="N49" s="175"/>
      <c r="O49" s="175"/>
      <c r="P49" s="115"/>
      <c r="AI49" s="5"/>
    </row>
    <row r="50" spans="2:35" ht="11.25" hidden="1">
      <c r="B50" s="171"/>
      <c r="C50" s="176">
        <v>20</v>
      </c>
      <c r="D50" s="179"/>
      <c r="E50" s="186"/>
      <c r="F50" s="173"/>
      <c r="G50" s="212" t="s">
        <v>136</v>
      </c>
      <c r="H50" s="180" t="s">
        <v>114</v>
      </c>
      <c r="I50" s="173"/>
      <c r="J50" s="180">
        <v>16</v>
      </c>
      <c r="K50" s="173">
        <v>1100</v>
      </c>
      <c r="L50" s="181">
        <f>VLOOKUP($G$38,Material!$A$8:$AC$1019,21)</f>
        <v>1</v>
      </c>
      <c r="M50" s="174"/>
      <c r="N50" s="175"/>
      <c r="O50" s="175"/>
      <c r="P50" s="115"/>
      <c r="AI50" s="5"/>
    </row>
    <row r="51" spans="2:35" ht="11.25" hidden="1">
      <c r="B51" s="171"/>
      <c r="C51" s="176">
        <v>24</v>
      </c>
      <c r="D51" s="173"/>
      <c r="E51" s="186"/>
      <c r="F51" s="173"/>
      <c r="G51" s="212" t="s">
        <v>137</v>
      </c>
      <c r="H51" s="180" t="s">
        <v>115</v>
      </c>
      <c r="I51" s="173"/>
      <c r="J51" s="180">
        <v>17</v>
      </c>
      <c r="K51" s="173">
        <v>1150</v>
      </c>
      <c r="L51" s="181">
        <f>VLOOKUP($G$38,Material!$A$8:$AC$1019,22)</f>
        <v>0</v>
      </c>
      <c r="M51" s="174"/>
      <c r="N51" s="175"/>
      <c r="O51" s="175"/>
      <c r="P51" s="115"/>
      <c r="AI51" s="5"/>
    </row>
    <row r="52" spans="2:35" ht="11.25" hidden="1">
      <c r="B52" s="171"/>
      <c r="C52" s="176">
        <v>26</v>
      </c>
      <c r="D52" s="173"/>
      <c r="E52" s="186"/>
      <c r="F52" s="173"/>
      <c r="G52" s="212" t="s">
        <v>139</v>
      </c>
      <c r="H52" s="180" t="s">
        <v>116</v>
      </c>
      <c r="I52" s="173"/>
      <c r="J52" s="180">
        <v>18</v>
      </c>
      <c r="K52" s="173">
        <v>1200</v>
      </c>
      <c r="L52" s="181">
        <f>VLOOKUP($G$38,Material!$A$8:$AC$1019,23)</f>
        <v>0</v>
      </c>
      <c r="M52" s="174"/>
      <c r="N52" s="175"/>
      <c r="O52" s="175"/>
      <c r="P52" s="115"/>
      <c r="AI52" s="5"/>
    </row>
    <row r="53" spans="2:35" ht="11.25" hidden="1">
      <c r="B53" s="171"/>
      <c r="C53" s="176">
        <v>28</v>
      </c>
      <c r="D53" s="173"/>
      <c r="E53" s="186"/>
      <c r="F53" s="173"/>
      <c r="G53" s="212" t="s">
        <v>138</v>
      </c>
      <c r="H53" s="192" t="s">
        <v>117</v>
      </c>
      <c r="I53" s="190"/>
      <c r="J53" s="180">
        <v>19</v>
      </c>
      <c r="K53" s="173">
        <v>1250</v>
      </c>
      <c r="L53" s="181">
        <f>VLOOKUP($G$38,Material!$A$8:$AC$1019,24)</f>
        <v>0</v>
      </c>
      <c r="M53" s="174"/>
      <c r="N53" s="175"/>
      <c r="O53" s="175"/>
      <c r="P53" s="115"/>
      <c r="AI53" s="5"/>
    </row>
    <row r="54" spans="2:35" ht="11.25" hidden="1">
      <c r="B54" s="171"/>
      <c r="C54" s="176">
        <v>30</v>
      </c>
      <c r="D54" s="173"/>
      <c r="E54" s="186"/>
      <c r="F54" s="173"/>
      <c r="G54" s="212" t="s">
        <v>146</v>
      </c>
      <c r="H54" s="213"/>
      <c r="I54" s="182" t="str">
        <f>VLOOKUP(G38,Material!A8:AY159,51,1)</f>
        <v>FS</v>
      </c>
      <c r="J54" s="180">
        <v>20</v>
      </c>
      <c r="K54" s="173">
        <v>1300</v>
      </c>
      <c r="L54" s="181">
        <f>VLOOKUP($G$38,Material!$A$8:$AC$1019,25)</f>
        <v>0</v>
      </c>
      <c r="M54" s="174"/>
      <c r="N54" s="175"/>
      <c r="O54" s="175"/>
      <c r="P54" s="115"/>
      <c r="AI54" s="5"/>
    </row>
    <row r="55" spans="2:35" ht="11.25" customHeight="1" hidden="1">
      <c r="B55" s="171"/>
      <c r="C55" s="176">
        <v>32</v>
      </c>
      <c r="D55" s="173"/>
      <c r="E55" s="186"/>
      <c r="F55" s="173"/>
      <c r="G55" s="212" t="str">
        <f>IF(K84&gt;150,G54,IF(M72=400,"Verificar o limite da categoria D",IF(M72&gt;400,G54,IF(I49=3,"Obs.:
1 MPa = 1 N/mm2",""))))</f>
        <v>Este serviço não é categoria D</v>
      </c>
      <c r="H55" s="180"/>
      <c r="I55" s="181">
        <f>IF($M$72&lt;=900,0.4,IF($M$72&lt;=950,0.5,0.7))</f>
        <v>0.4</v>
      </c>
      <c r="J55" s="180">
        <v>21</v>
      </c>
      <c r="K55" s="173">
        <v>1350</v>
      </c>
      <c r="L55" s="181">
        <f>VLOOKUP($G$38,Material!$A$8:$AC$1019,26)</f>
        <v>0</v>
      </c>
      <c r="M55" s="174"/>
      <c r="N55" s="175"/>
      <c r="O55" s="175"/>
      <c r="P55" s="115"/>
      <c r="AI55" s="5"/>
    </row>
    <row r="56" spans="2:35" ht="11.25" hidden="1">
      <c r="B56" s="171"/>
      <c r="C56" s="176">
        <v>34</v>
      </c>
      <c r="D56" s="173"/>
      <c r="E56" s="186"/>
      <c r="F56" s="173"/>
      <c r="G56" s="212"/>
      <c r="H56" s="180"/>
      <c r="I56" s="193">
        <f>IF($M$72&lt;=1050,0.4,IF($M$72&lt;=1100,0.5,0.7))</f>
        <v>0.4</v>
      </c>
      <c r="J56" s="180">
        <v>22</v>
      </c>
      <c r="K56" s="173">
        <v>1400</v>
      </c>
      <c r="L56" s="181">
        <f>VLOOKUP($G$38,Material!$A$8:$AC$1019,27)</f>
        <v>0</v>
      </c>
      <c r="M56" s="174"/>
      <c r="N56" s="175"/>
      <c r="O56" s="175"/>
      <c r="P56" s="115"/>
      <c r="AI56" s="5"/>
    </row>
    <row r="57" spans="2:35" ht="11.25" hidden="1">
      <c r="B57" s="171"/>
      <c r="C57" s="176">
        <v>36</v>
      </c>
      <c r="D57" s="173"/>
      <c r="E57" s="186"/>
      <c r="F57" s="173"/>
      <c r="G57" s="212"/>
      <c r="H57" s="180"/>
      <c r="I57" s="173"/>
      <c r="J57" s="180">
        <v>23</v>
      </c>
      <c r="K57" s="173">
        <v>1450</v>
      </c>
      <c r="L57" s="181">
        <f>VLOOKUP($G$38,Material!$A$8:$AC$1019,28)</f>
        <v>0</v>
      </c>
      <c r="M57" s="174"/>
      <c r="N57" s="175"/>
      <c r="O57" s="175"/>
      <c r="P57" s="115"/>
      <c r="AI57" s="5"/>
    </row>
    <row r="58" spans="2:35" ht="11.25" hidden="1">
      <c r="B58" s="171"/>
      <c r="C58" s="176">
        <v>42</v>
      </c>
      <c r="D58" s="173"/>
      <c r="E58" s="186"/>
      <c r="F58" s="173"/>
      <c r="G58" s="181"/>
      <c r="H58" s="186"/>
      <c r="J58" s="192">
        <v>24</v>
      </c>
      <c r="K58" s="190">
        <v>1500</v>
      </c>
      <c r="L58" s="193">
        <f>VLOOKUP($G$38,Material!$A$8:$AC$1019,29)</f>
        <v>0</v>
      </c>
      <c r="M58" s="174"/>
      <c r="N58" s="175"/>
      <c r="O58" s="175"/>
      <c r="P58" s="115"/>
      <c r="AI58" s="5"/>
    </row>
    <row r="59" spans="2:35" ht="11.25" hidden="1">
      <c r="B59" s="194"/>
      <c r="C59" s="195">
        <v>48</v>
      </c>
      <c r="D59" s="190"/>
      <c r="E59" s="189"/>
      <c r="F59" s="190"/>
      <c r="G59" s="193"/>
      <c r="H59" s="189"/>
      <c r="I59" s="189"/>
      <c r="J59" s="189"/>
      <c r="K59" s="196"/>
      <c r="L59" s="196"/>
      <c r="M59" s="196"/>
      <c r="N59" s="196"/>
      <c r="O59" s="196"/>
      <c r="P59" s="115"/>
      <c r="AI59" s="5"/>
    </row>
    <row r="60" spans="2:16" ht="11.25">
      <c r="B60" s="251" t="s">
        <v>112</v>
      </c>
      <c r="C60" s="251"/>
      <c r="D60" s="251"/>
      <c r="E60" s="251"/>
      <c r="F60" s="251"/>
      <c r="G60" s="251"/>
      <c r="H60" s="251"/>
      <c r="I60" s="251"/>
      <c r="J60" s="251"/>
      <c r="K60" s="251"/>
      <c r="L60" s="251"/>
      <c r="M60" s="251"/>
      <c r="N60" s="251"/>
      <c r="O60" s="251"/>
      <c r="P60" s="115"/>
    </row>
    <row r="61" spans="2:16" ht="11.25">
      <c r="B61" s="251" t="s">
        <v>144</v>
      </c>
      <c r="C61" s="251"/>
      <c r="D61" s="251"/>
      <c r="E61" s="251"/>
      <c r="F61" s="251"/>
      <c r="G61" s="251"/>
      <c r="H61" s="251"/>
      <c r="I61" s="251"/>
      <c r="J61" s="251"/>
      <c r="K61" s="251"/>
      <c r="L61" s="251"/>
      <c r="M61" s="251"/>
      <c r="N61" s="251"/>
      <c r="O61" s="251"/>
      <c r="P61" s="115"/>
    </row>
    <row r="62" spans="2:16" ht="4.5" customHeight="1">
      <c r="B62" s="115"/>
      <c r="C62" s="115"/>
      <c r="D62" s="116"/>
      <c r="E62" s="116"/>
      <c r="F62" s="116"/>
      <c r="G62" s="116"/>
      <c r="H62" s="115"/>
      <c r="I62" s="115"/>
      <c r="J62" s="115"/>
      <c r="K62" s="115"/>
      <c r="L62" s="115"/>
      <c r="M62" s="115"/>
      <c r="N62" s="115"/>
      <c r="O62" s="115"/>
      <c r="P62" s="115"/>
    </row>
    <row r="63" spans="2:16" ht="12.75" customHeight="1">
      <c r="B63" s="118"/>
      <c r="C63" s="115"/>
      <c r="D63" s="116"/>
      <c r="E63" s="116"/>
      <c r="F63" s="116"/>
      <c r="G63" s="116"/>
      <c r="H63" s="117" t="str">
        <f>IF(J69="k","Para cálculo da espessura de parede:","Verif. espessura de parede: D / 6:")</f>
        <v>Verif. espessura de parede: D / 6:</v>
      </c>
      <c r="I63" s="115">
        <f>IF(J69="k","",E11/6)</f>
        <v>67.73333333333333</v>
      </c>
      <c r="J63" s="262" t="str">
        <f>IF(J69="K","Ver paragrafo K304.1.2 do código ASME B31.3",IF(I74=0,"",IF(G34&gt;=I63,"t ≥ D/6 - Ver paragrafo 304.1.2 do código","t &lt; D/6: Utilizar a equação 3a")))</f>
        <v>t &lt; D/6: Utilizar a equação 3a</v>
      </c>
      <c r="K63" s="262"/>
      <c r="L63" s="262"/>
      <c r="M63" s="262"/>
      <c r="N63" s="262"/>
      <c r="O63" s="115"/>
      <c r="P63" s="115"/>
    </row>
    <row r="64" spans="2:35" ht="11.25">
      <c r="B64" s="118"/>
      <c r="C64" s="115"/>
      <c r="D64" s="115"/>
      <c r="E64" s="116"/>
      <c r="F64" s="116"/>
      <c r="G64" s="116"/>
      <c r="H64" s="116"/>
      <c r="I64" s="115"/>
      <c r="J64" s="115"/>
      <c r="K64" s="115"/>
      <c r="L64" s="115"/>
      <c r="M64" s="115"/>
      <c r="N64" s="115"/>
      <c r="O64" s="115"/>
      <c r="P64" s="115"/>
      <c r="AI64" s="5"/>
    </row>
    <row r="65" spans="2:16" ht="11.25">
      <c r="B65" s="118" t="s">
        <v>73</v>
      </c>
      <c r="C65" s="115"/>
      <c r="D65" s="116"/>
      <c r="E65" s="116"/>
      <c r="F65" s="267" t="s">
        <v>70</v>
      </c>
      <c r="G65" s="267"/>
      <c r="H65" s="115"/>
      <c r="I65" s="263" t="str">
        <f>IF($G$39=1,$G$40,IF($G$39=2,$G$41,IF($G$39=3,$G$42,IF($G$39=4,$G$43,IF($G$39=5,$G$44,IF($G$39=6,$G$45,IF($G$39=7,$G$46,$G$47)))))))</f>
        <v>Furnace butt welded</v>
      </c>
      <c r="J65" s="263"/>
      <c r="K65" s="263"/>
      <c r="L65" s="263"/>
      <c r="M65" s="263"/>
      <c r="N65" s="263"/>
      <c r="O65" s="263"/>
      <c r="P65" s="115"/>
    </row>
    <row r="66" spans="2:35" ht="11.25">
      <c r="B66" s="118"/>
      <c r="C66" s="115"/>
      <c r="D66" s="115"/>
      <c r="E66" s="116"/>
      <c r="F66" s="116"/>
      <c r="G66" s="116"/>
      <c r="H66" s="116"/>
      <c r="I66" s="263" t="str">
        <f>IF($G$39=1,$I$40,IF($G$39=2,$I$41,IF($G$39=3,$I$42,IF($G$39=4,$I$43,IF($G$39=5,$I$44,IF($G$39=6,$I$45,IF($G$39=7,$I$46,$I$47)))))))</f>
        <v> </v>
      </c>
      <c r="J66" s="263"/>
      <c r="K66" s="263"/>
      <c r="L66" s="263"/>
      <c r="M66" s="263"/>
      <c r="N66" s="263"/>
      <c r="O66" s="116"/>
      <c r="P66" s="115"/>
      <c r="AI66" s="5"/>
    </row>
    <row r="67" spans="2:35" ht="11.25">
      <c r="B67" s="222" t="str">
        <f>IF(B68=0,"","Notas do código:")</f>
        <v>Notas do código:</v>
      </c>
      <c r="C67" s="119"/>
      <c r="D67" s="119"/>
      <c r="E67" s="119"/>
      <c r="F67" s="119"/>
      <c r="G67" s="118"/>
      <c r="H67" s="116"/>
      <c r="I67" s="117" t="s">
        <v>68</v>
      </c>
      <c r="J67" s="117" t="s">
        <v>69</v>
      </c>
      <c r="K67" s="202">
        <f>IF($G$39=1,$H$40,IF($G$39=2,$H$41,IF($G$39=3,$H$42,IF($G$39=4,$H$43,IF($G$39=5,$H$44,IF($G$39=6,$H$45,IF($G$39=7,$H$46,$H$47)))))))</f>
        <v>0.6</v>
      </c>
      <c r="L67" s="202"/>
      <c r="M67" s="202"/>
      <c r="N67" s="202"/>
      <c r="O67" s="202"/>
      <c r="P67" s="115"/>
      <c r="AI67" s="5"/>
    </row>
    <row r="68" spans="2:35" ht="11.25" customHeight="1">
      <c r="B68" s="250" t="str">
        <f>G48</f>
        <v>For minimum temperature see patagraph 323.2.2(b) and the applicable curve in Fig. 323.2.2A of the Code.
(57) Conversion of carbides to graphite may occur after prolonged exposure to temperatures over 427°C (800°F). See para. F323.4(b)(2).
(59) For temperatures above 482ºC (900ºF), consider the advantages of killed steel. See para. F323.4(b)(4).
(77) [Table with CSA (Canadian Standards Association) equivalences]</v>
      </c>
      <c r="C68" s="250"/>
      <c r="D68" s="250"/>
      <c r="E68" s="250"/>
      <c r="F68" s="250"/>
      <c r="G68" s="214"/>
      <c r="H68" s="214"/>
      <c r="I68" s="215"/>
      <c r="J68" s="216"/>
      <c r="K68" s="255" t="str">
        <f>IF(G49=1,G50,IF(G49=2,G51,IF(G49=3,G52,G53)))</f>
        <v>Normal fluid service: a fluid service pertaining to most piping covered by this Code, i.e., not subject to the rules for Category D, Category M, or High Pressure Fluid Service.</v>
      </c>
      <c r="L68" s="255"/>
      <c r="M68" s="255"/>
      <c r="N68" s="255"/>
      <c r="O68" s="256"/>
      <c r="P68" s="115"/>
      <c r="AI68" s="5"/>
    </row>
    <row r="69" spans="2:35" ht="11.25" customHeight="1">
      <c r="B69" s="250"/>
      <c r="C69" s="250"/>
      <c r="D69" s="250"/>
      <c r="E69" s="250"/>
      <c r="F69" s="250"/>
      <c r="G69" s="261" t="s">
        <v>118</v>
      </c>
      <c r="H69" s="261"/>
      <c r="I69" s="215"/>
      <c r="J69" s="268" t="str">
        <f>IF(G49=1,"D",IF(G49=2,"M",IF(G49=3,"K","N")))</f>
        <v>N</v>
      </c>
      <c r="K69" s="257"/>
      <c r="L69" s="257"/>
      <c r="M69" s="257"/>
      <c r="N69" s="257"/>
      <c r="O69" s="258"/>
      <c r="P69" s="115"/>
      <c r="AI69" s="5"/>
    </row>
    <row r="70" spans="2:35" ht="11.25">
      <c r="B70" s="250"/>
      <c r="C70" s="250"/>
      <c r="D70" s="250"/>
      <c r="E70" s="250"/>
      <c r="F70" s="250"/>
      <c r="G70" s="261"/>
      <c r="H70" s="261"/>
      <c r="I70" s="215"/>
      <c r="J70" s="268"/>
      <c r="K70" s="257"/>
      <c r="L70" s="257"/>
      <c r="M70" s="257"/>
      <c r="N70" s="257"/>
      <c r="O70" s="258"/>
      <c r="P70" s="115"/>
      <c r="AI70" s="5"/>
    </row>
    <row r="71" spans="2:35" ht="11.25" customHeight="1">
      <c r="B71" s="250"/>
      <c r="C71" s="250"/>
      <c r="D71" s="250"/>
      <c r="E71" s="250"/>
      <c r="F71" s="250"/>
      <c r="G71" s="214"/>
      <c r="H71" s="214"/>
      <c r="I71" s="215"/>
      <c r="J71" s="120"/>
      <c r="K71" s="259"/>
      <c r="L71" s="259"/>
      <c r="M71" s="259"/>
      <c r="N71" s="259"/>
      <c r="O71" s="260"/>
      <c r="P71" s="115"/>
      <c r="AI71" s="5"/>
    </row>
    <row r="72" spans="2:35" ht="12.75" customHeight="1">
      <c r="B72" s="250"/>
      <c r="C72" s="250"/>
      <c r="D72" s="250"/>
      <c r="E72" s="250"/>
      <c r="F72" s="250"/>
      <c r="G72" s="266" t="s">
        <v>86</v>
      </c>
      <c r="H72" s="266"/>
      <c r="I72" s="266"/>
      <c r="J72" s="115"/>
      <c r="K72" s="269">
        <f>(M72-32)/1.8</f>
        <v>37.77777777777778</v>
      </c>
      <c r="L72" s="269" t="s">
        <v>128</v>
      </c>
      <c r="M72" s="249">
        <f>VLOOKUP($J$34,$J$35:$K$58,2)</f>
        <v>100</v>
      </c>
      <c r="N72" s="249"/>
      <c r="O72" s="115"/>
      <c r="P72" s="115"/>
      <c r="AI72" s="5"/>
    </row>
    <row r="73" spans="2:35" ht="11.25" customHeight="1">
      <c r="B73" s="250"/>
      <c r="C73" s="250"/>
      <c r="D73" s="250"/>
      <c r="E73" s="250"/>
      <c r="F73" s="250"/>
      <c r="G73" s="266"/>
      <c r="H73" s="266"/>
      <c r="I73" s="266"/>
      <c r="J73" s="115"/>
      <c r="K73" s="269"/>
      <c r="L73" s="269"/>
      <c r="M73" s="249"/>
      <c r="N73" s="249"/>
      <c r="O73" s="115"/>
      <c r="P73" s="115"/>
      <c r="AI73" s="5"/>
    </row>
    <row r="74" spans="2:35" ht="11.25" customHeight="1">
      <c r="B74" s="250"/>
      <c r="C74" s="250"/>
      <c r="D74" s="250"/>
      <c r="E74" s="250"/>
      <c r="F74" s="250"/>
      <c r="G74" s="116"/>
      <c r="H74" s="117" t="str">
        <f>IF(J69="k","",IF(I74=0,"","S ="))</f>
        <v>S =</v>
      </c>
      <c r="I74" s="133">
        <f>IF(J69="k","",VLOOKUP(M72,K35:L58,2))</f>
        <v>20</v>
      </c>
      <c r="J74" s="118" t="str">
        <f>IF(J69="k","",IF(I74=0,"","ksi    ="))</f>
        <v>ksi    =</v>
      </c>
      <c r="K74" s="158">
        <f>IF(J69="k","S =",IF(I74=0,"",I74*1000/14.223))</f>
        <v>1406.1730999085987</v>
      </c>
      <c r="L74" s="263" t="str">
        <f>IF(J69="K","Ver tabela K-1 do código",IF(I74=0,"Verificar limite de temperatura",IF(I80=0,"","kgf/cm2")))</f>
        <v>kgf/cm2</v>
      </c>
      <c r="M74" s="263"/>
      <c r="N74" s="263"/>
      <c r="O74" s="115"/>
      <c r="P74" s="115"/>
      <c r="AI74" s="5"/>
    </row>
    <row r="75" spans="2:35" ht="11.25" customHeight="1">
      <c r="B75" s="250"/>
      <c r="C75" s="250"/>
      <c r="D75" s="250"/>
      <c r="E75" s="250"/>
      <c r="F75" s="250"/>
      <c r="G75" s="138"/>
      <c r="H75" s="138"/>
      <c r="I75" s="117" t="str">
        <f>IF(G49=3,"","Y =")</f>
        <v>Y =</v>
      </c>
      <c r="J75" s="133">
        <f>IF(G49=3,"",IF(I54="FS",I55,IF(I54="AS",I56,IF(I54="ODM",0.4,IF(I54="CI",0)))))</f>
        <v>0.4</v>
      </c>
      <c r="K75" s="138"/>
      <c r="L75" s="138"/>
      <c r="M75" s="138"/>
      <c r="N75" s="270">
        <f>IF(J69="D",G55,IF(I49=3,"Obs.:
1 MPa = 1 N/mm2",""))</f>
      </c>
      <c r="O75" s="224"/>
      <c r="P75" s="115"/>
      <c r="Q75" s="111"/>
      <c r="AI75" s="5"/>
    </row>
    <row r="76" spans="2:35" ht="15.75" customHeight="1">
      <c r="B76" s="250"/>
      <c r="C76" s="250"/>
      <c r="D76" s="250"/>
      <c r="E76" s="250"/>
      <c r="F76" s="250"/>
      <c r="G76" s="3"/>
      <c r="H76" s="138"/>
      <c r="I76" s="117" t="s">
        <v>107</v>
      </c>
      <c r="J76" s="264">
        <v>50</v>
      </c>
      <c r="K76" s="265"/>
      <c r="L76" s="138"/>
      <c r="M76" s="138"/>
      <c r="N76" s="270"/>
      <c r="O76" s="224"/>
      <c r="P76" s="115"/>
      <c r="AI76" s="5"/>
    </row>
    <row r="77" spans="2:17" s="111" customFormat="1" ht="15.75" customHeight="1">
      <c r="B77" s="250"/>
      <c r="C77" s="250"/>
      <c r="D77" s="250"/>
      <c r="E77" s="250"/>
      <c r="F77" s="250"/>
      <c r="G77" s="3"/>
      <c r="H77" s="137"/>
      <c r="I77" s="117" t="s">
        <v>127</v>
      </c>
      <c r="J77" s="197">
        <v>1.2</v>
      </c>
      <c r="K77" s="118" t="str">
        <f>IF(I38=2,"mm","in")</f>
        <v>mm</v>
      </c>
      <c r="L77" s="115"/>
      <c r="M77" s="115"/>
      <c r="N77" s="270"/>
      <c r="O77" s="137"/>
      <c r="P77" s="115"/>
      <c r="Q77" s="5"/>
    </row>
    <row r="78" spans="2:23" s="111" customFormat="1" ht="11.25" customHeight="1" thickBot="1">
      <c r="B78" s="250"/>
      <c r="C78" s="250"/>
      <c r="D78" s="250"/>
      <c r="E78" s="250"/>
      <c r="F78" s="250"/>
      <c r="G78" s="3"/>
      <c r="H78" s="116"/>
      <c r="I78" s="115"/>
      <c r="J78" s="115"/>
      <c r="K78" s="115"/>
      <c r="L78" s="115"/>
      <c r="M78" s="115"/>
      <c r="N78" s="115"/>
      <c r="O78" s="115"/>
      <c r="P78" s="115"/>
      <c r="Q78" s="5"/>
      <c r="R78" s="5"/>
      <c r="S78" s="5"/>
      <c r="T78" s="5"/>
      <c r="U78" s="5"/>
      <c r="V78" s="5"/>
      <c r="W78" s="5"/>
    </row>
    <row r="79" spans="2:35" ht="11.25" customHeight="1" thickTop="1">
      <c r="B79" s="250"/>
      <c r="C79" s="250"/>
      <c r="D79" s="250"/>
      <c r="E79" s="250"/>
      <c r="F79" s="250"/>
      <c r="G79" s="3"/>
      <c r="H79" s="274" t="str">
        <f>IF(K67=0,"Ver tipo de solda","Espessura necessária")</f>
        <v>Espessura necessária</v>
      </c>
      <c r="I79" s="275"/>
      <c r="J79" s="276"/>
      <c r="K79" s="115"/>
      <c r="L79" s="115"/>
      <c r="M79" s="117" t="s">
        <v>135</v>
      </c>
      <c r="N79" s="201">
        <f>E14</f>
        <v>12.7</v>
      </c>
      <c r="O79" s="115"/>
      <c r="P79" s="115"/>
      <c r="AI79" s="5"/>
    </row>
    <row r="80" spans="2:35" ht="11.25" customHeight="1" thickBot="1">
      <c r="B80" s="271" t="s">
        <v>125</v>
      </c>
      <c r="C80" s="272"/>
      <c r="D80" s="272"/>
      <c r="E80" s="273"/>
      <c r="F80" s="116"/>
      <c r="G80" s="3"/>
      <c r="H80" s="204" t="s">
        <v>140</v>
      </c>
      <c r="I80" s="207">
        <f>IF(J69="K","",IF(I74=0,"",IF(G34&gt;=I63,"",IF(K67=0,0,G35))))</f>
        <v>13.189744815157761</v>
      </c>
      <c r="J80" s="205" t="str">
        <f>IF($K$67=0,0,"mm")</f>
        <v>mm</v>
      </c>
      <c r="K80" s="115"/>
      <c r="L80" s="115"/>
      <c r="M80" s="117" t="s">
        <v>131</v>
      </c>
      <c r="N80" s="201">
        <f>IF(E83="%",N79*D83/100,IF(E83="in",D83*25.4,IF(E83="mm",D82,"?")))</f>
        <v>1.5875</v>
      </c>
      <c r="O80" s="115"/>
      <c r="P80" s="115"/>
      <c r="AI80" s="5"/>
    </row>
    <row r="81" spans="2:35" ht="11.25" customHeight="1" thickTop="1">
      <c r="B81" s="164"/>
      <c r="C81" s="161">
        <f>(E81-32)/1.8</f>
        <v>-28.88888888888889</v>
      </c>
      <c r="D81" s="160" t="s">
        <v>126</v>
      </c>
      <c r="E81" s="159">
        <f>VLOOKUP(G38,Material!A8:E35,3,1)</f>
        <v>-20</v>
      </c>
      <c r="F81" s="116"/>
      <c r="G81" s="3"/>
      <c r="H81" s="116"/>
      <c r="I81" s="115"/>
      <c r="J81" s="115"/>
      <c r="K81" s="115"/>
      <c r="L81" s="115"/>
      <c r="M81" s="117" t="s">
        <v>132</v>
      </c>
      <c r="N81" s="201">
        <f>N79-N80</f>
        <v>11.112499999999999</v>
      </c>
      <c r="O81" s="115"/>
      <c r="P81" s="115"/>
      <c r="AI81" s="5"/>
    </row>
    <row r="82" spans="2:35" ht="11.25" customHeight="1">
      <c r="B82" s="271" t="s">
        <v>147</v>
      </c>
      <c r="C82" s="272"/>
      <c r="D82" s="272"/>
      <c r="E82" s="273"/>
      <c r="F82" s="116"/>
      <c r="G82" s="277" t="s">
        <v>133</v>
      </c>
      <c r="H82" s="278"/>
      <c r="I82" s="281">
        <f>IF(J69="k","",IF(I80="","",IF(K67=0,"?",N81-I80)))</f>
        <v>-2.077244815157762</v>
      </c>
      <c r="J82" s="283" t="str">
        <f>IF(K67=0,0,"mm")</f>
        <v>mm</v>
      </c>
      <c r="K82" s="285" t="str">
        <f>IF(K67=0,"",IF(I82&lt;0,"AUMENTAR A ESPESSURA DO TUBO",""))</f>
        <v>AUMENTAR A ESPESSURA DO TUBO</v>
      </c>
      <c r="L82" s="269"/>
      <c r="M82" s="269"/>
      <c r="N82" s="269"/>
      <c r="O82" s="115"/>
      <c r="P82" s="115"/>
      <c r="AI82" s="5"/>
    </row>
    <row r="83" spans="2:35" ht="11.25" customHeight="1">
      <c r="B83" s="219"/>
      <c r="C83" s="225" t="s">
        <v>74</v>
      </c>
      <c r="D83" s="220">
        <f>VLOOKUP(G38,Material!$A$8:$AT$119,45)</f>
        <v>12.5</v>
      </c>
      <c r="E83" s="221" t="str">
        <f>VLOOKUP(G38,Material!$A$8:$AT$119,46)</f>
        <v>%</v>
      </c>
      <c r="F83" s="116"/>
      <c r="G83" s="279"/>
      <c r="H83" s="280"/>
      <c r="I83" s="282"/>
      <c r="J83" s="284"/>
      <c r="K83" s="235"/>
      <c r="L83" s="234"/>
      <c r="M83" s="234"/>
      <c r="N83" s="234"/>
      <c r="O83" s="115"/>
      <c r="P83" s="115"/>
      <c r="AI83" s="5"/>
    </row>
    <row r="84" spans="2:35" ht="11.25" customHeight="1" hidden="1">
      <c r="B84" s="21"/>
      <c r="C84" s="21"/>
      <c r="G84" s="199" t="s">
        <v>32</v>
      </c>
      <c r="H84" s="198">
        <f>E11/10</f>
        <v>40.64</v>
      </c>
      <c r="I84" s="199" t="s">
        <v>130</v>
      </c>
      <c r="J84" s="200">
        <f>IF(I49=1,J76,IF(I49=2,J76/0.980665,IF(I49=3,J76/0.0980665,IF(I49=4,J76/98.0665,IF(I49=5,J76/14.223)))))</f>
        <v>50.98581064889641</v>
      </c>
      <c r="K84" s="223">
        <f>J84*14.223</f>
        <v>725.1711848592537</v>
      </c>
      <c r="M84" s="199" t="s">
        <v>129</v>
      </c>
      <c r="N84" s="200">
        <f>IF(I38=1,J77*25.4,J77)</f>
        <v>1.2</v>
      </c>
      <c r="AI84" s="5"/>
    </row>
    <row r="85" spans="2:35" ht="11.25" customHeight="1">
      <c r="B85" s="203"/>
      <c r="C85" s="203"/>
      <c r="D85" s="203"/>
      <c r="E85" s="203"/>
      <c r="F85" s="203"/>
      <c r="G85" s="203"/>
      <c r="H85" s="203"/>
      <c r="I85" s="203"/>
      <c r="J85" s="203"/>
      <c r="K85" s="203"/>
      <c r="L85" s="203"/>
      <c r="M85" s="203"/>
      <c r="N85" s="4"/>
      <c r="O85" s="4"/>
      <c r="P85" s="115"/>
      <c r="AI85" s="5"/>
    </row>
    <row r="86" spans="2:16" ht="11.25">
      <c r="B86" s="203"/>
      <c r="C86" s="203"/>
      <c r="D86" s="203"/>
      <c r="E86" s="203"/>
      <c r="F86" s="1"/>
      <c r="G86" s="1"/>
      <c r="H86" s="1"/>
      <c r="I86" s="1"/>
      <c r="J86" s="1"/>
      <c r="K86" s="1"/>
      <c r="L86" s="1"/>
      <c r="M86" s="1"/>
      <c r="N86" s="1"/>
      <c r="O86" s="1"/>
      <c r="P86" s="1"/>
    </row>
    <row r="87" spans="2:16" ht="11.25">
      <c r="B87" s="203"/>
      <c r="C87" s="203"/>
      <c r="D87" s="203"/>
      <c r="E87" s="203"/>
      <c r="F87" s="3"/>
      <c r="G87" s="3"/>
      <c r="H87" s="3"/>
      <c r="I87" s="3"/>
      <c r="J87" s="3"/>
      <c r="K87" s="4"/>
      <c r="L87" s="4"/>
      <c r="M87" s="4"/>
      <c r="N87" s="4"/>
      <c r="O87" s="4"/>
      <c r="P87" s="4"/>
    </row>
    <row r="88" spans="3:5" ht="11.25">
      <c r="C88" s="6"/>
      <c r="D88" s="6"/>
      <c r="E88" s="6"/>
    </row>
    <row r="89" spans="3:5" ht="11.25">
      <c r="C89" s="6"/>
      <c r="D89" s="6"/>
      <c r="E89" s="6"/>
    </row>
    <row r="90" spans="3:5" ht="11.25">
      <c r="C90" s="6"/>
      <c r="D90" s="6"/>
      <c r="E90" s="6"/>
    </row>
    <row r="91" spans="3:5" ht="11.25">
      <c r="C91" s="6"/>
      <c r="D91" s="6"/>
      <c r="E91" s="6"/>
    </row>
  </sheetData>
  <sheetProtection password="C420" sheet="1" objects="1" scenarios="1" selectLockedCells="1"/>
  <mergeCells count="28">
    <mergeCell ref="B82:E82"/>
    <mergeCell ref="H79:J79"/>
    <mergeCell ref="B80:E80"/>
    <mergeCell ref="K72:K73"/>
    <mergeCell ref="G82:H83"/>
    <mergeCell ref="I82:I83"/>
    <mergeCell ref="J82:J83"/>
    <mergeCell ref="K82:N82"/>
    <mergeCell ref="J63:N63"/>
    <mergeCell ref="L74:N74"/>
    <mergeCell ref="J76:K76"/>
    <mergeCell ref="I66:N66"/>
    <mergeCell ref="G72:I73"/>
    <mergeCell ref="I65:O65"/>
    <mergeCell ref="F65:G65"/>
    <mergeCell ref="J69:J70"/>
    <mergeCell ref="L72:L73"/>
    <mergeCell ref="N75:N77"/>
    <mergeCell ref="C2:I3"/>
    <mergeCell ref="L2:N4"/>
    <mergeCell ref="M72:N73"/>
    <mergeCell ref="B68:F79"/>
    <mergeCell ref="B61:O61"/>
    <mergeCell ref="B60:O60"/>
    <mergeCell ref="J6:N8"/>
    <mergeCell ref="J34:K34"/>
    <mergeCell ref="K68:O71"/>
    <mergeCell ref="G69:H70"/>
  </mergeCells>
  <conditionalFormatting sqref="N75:N77">
    <cfRule type="cellIs" priority="1" dxfId="3" operator="equal" stopIfTrue="1">
      <formula>"Este serviço não é categoria D"</formula>
    </cfRule>
    <cfRule type="cellIs" priority="2" dxfId="16" operator="equal" stopIfTrue="1">
      <formula>"Verificar o limite da categoria D"</formula>
    </cfRule>
  </conditionalFormatting>
  <conditionalFormatting sqref="L74:N74">
    <cfRule type="cellIs" priority="3" dxfId="3" operator="equal" stopIfTrue="1">
      <formula>"Verificar limite de temperatura"</formula>
    </cfRule>
  </conditionalFormatting>
  <conditionalFormatting sqref="H80:J80 J82">
    <cfRule type="cellIs" priority="4" dxfId="14" operator="equal" stopIfTrue="1">
      <formula>0</formula>
    </cfRule>
  </conditionalFormatting>
  <conditionalFormatting sqref="K82:K83">
    <cfRule type="cellIs" priority="5" dxfId="3" operator="equal" stopIfTrue="1">
      <formula>"AUMENTAR A ESPESSURA DO TUBO"</formula>
    </cfRule>
  </conditionalFormatting>
  <conditionalFormatting sqref="I82">
    <cfRule type="cellIs" priority="6" dxfId="3" operator="lessThan" stopIfTrue="1">
      <formula>0</formula>
    </cfRule>
    <cfRule type="cellIs" priority="7" dxfId="3" operator="equal" stopIfTrue="1">
      <formula>"?"</formula>
    </cfRule>
  </conditionalFormatting>
  <conditionalFormatting sqref="N80">
    <cfRule type="cellIs" priority="8" dxfId="3" operator="equal" stopIfTrue="1">
      <formula>"?"</formula>
    </cfRule>
  </conditionalFormatting>
  <conditionalFormatting sqref="K67:O67">
    <cfRule type="cellIs" priority="9" dxfId="3" operator="equal" stopIfTrue="1">
      <formula>"Verificar se este tipo de costura se aplica para este material"</formula>
    </cfRule>
    <cfRule type="cellIs" priority="10" dxfId="1" operator="equal" stopIfTrue="1">
      <formula>0</formula>
    </cfRule>
  </conditionalFormatting>
  <conditionalFormatting sqref="O66">
    <cfRule type="cellIs" priority="11" dxfId="1" operator="equal" stopIfTrue="1">
      <formula>0</formula>
    </cfRule>
    <cfRule type="cellIs" priority="12" dxfId="3" operator="equal" stopIfTrue="1">
      <formula>"Este tipo de solda não se aplica a este material"</formula>
    </cfRule>
  </conditionalFormatting>
  <conditionalFormatting sqref="H79:J79">
    <cfRule type="cellIs" priority="13" dxfId="3" operator="equal" stopIfTrue="1">
      <formula>"Ver tipo de solda"</formula>
    </cfRule>
  </conditionalFormatting>
  <conditionalFormatting sqref="I66:N66">
    <cfRule type="cellIs" priority="14" dxfId="1" operator="equal" stopIfTrue="1">
      <formula>0</formula>
    </cfRule>
    <cfRule type="cellIs" priority="15" dxfId="3" operator="equal" stopIfTrue="1">
      <formula>"O tipo de solda não se aplica a este material"</formula>
    </cfRule>
  </conditionalFormatting>
  <conditionalFormatting sqref="J63:N63">
    <cfRule type="cellIs" priority="16" dxfId="18" operator="equal" stopIfTrue="1">
      <formula>"t ≥ D/6 - Ver paragrafo 304.1.2 do código"</formula>
    </cfRule>
  </conditionalFormatting>
  <conditionalFormatting sqref="I74">
    <cfRule type="cellIs" priority="17" dxfId="1" operator="equal" stopIfTrue="1">
      <formula>0</formula>
    </cfRule>
  </conditionalFormatting>
  <printOptions horizontalCentered="1"/>
  <pageMargins left="0.7874015748031497" right="0.1968503937007874" top="0.984251968503937" bottom="0.984251968503937" header="0.5118110236220472" footer="0.5118110236220472"/>
  <pageSetup blackAndWhite="1" horizontalDpi="300" verticalDpi="300" orientation="portrait" paperSize="9" scale="110" r:id="rId4"/>
  <drawing r:id="rId3"/>
  <legacyDrawing r:id="rId2"/>
</worksheet>
</file>

<file path=xl/worksheets/sheet2.xml><?xml version="1.0" encoding="utf-8"?>
<worksheet xmlns="http://schemas.openxmlformats.org/spreadsheetml/2006/main" xmlns:r="http://schemas.openxmlformats.org/officeDocument/2006/relationships">
  <dimension ref="A2:S521"/>
  <sheetViews>
    <sheetView showGridLines="0" showRowColHeaders="0" zoomScalePageLayoutView="0" workbookViewId="0" topLeftCell="D1">
      <pane ySplit="6" topLeftCell="A7" activePane="bottomLeft" state="frozen"/>
      <selection pane="topLeft" activeCell="A1" sqref="A1"/>
      <selection pane="bottomLeft" activeCell="E1" sqref="E1"/>
    </sheetView>
  </sheetViews>
  <sheetFormatPr defaultColWidth="9.140625" defaultRowHeight="12.75"/>
  <cols>
    <col min="1" max="1" width="2.7109375" style="23" hidden="1" customWidth="1"/>
    <col min="2" max="2" width="2.7109375" style="15" hidden="1" customWidth="1"/>
    <col min="3" max="3" width="4.421875" style="67" hidden="1" customWidth="1"/>
    <col min="4" max="4" width="6.140625" style="83" bestFit="1" customWidth="1"/>
    <col min="5" max="5" width="4.8515625" style="15" bestFit="1" customWidth="1"/>
    <col min="6" max="6" width="6.57421875" style="84" bestFit="1" customWidth="1"/>
    <col min="7" max="7" width="6.00390625" style="84" bestFit="1" customWidth="1"/>
    <col min="8" max="8" width="6.00390625" style="85" bestFit="1" customWidth="1"/>
    <col min="9" max="9" width="6.57421875" style="85" customWidth="1"/>
    <col min="10" max="10" width="6.57421875" style="86" customWidth="1"/>
    <col min="11" max="11" width="6.421875" style="15" customWidth="1"/>
    <col min="12" max="12" width="7.7109375" style="15" customWidth="1"/>
    <col min="13" max="13" width="6.421875" style="15" customWidth="1"/>
    <col min="14" max="16" width="10.421875" style="84" bestFit="1" customWidth="1"/>
    <col min="17" max="21" width="9.140625" style="30" customWidth="1"/>
    <col min="22" max="16384" width="9.140625" style="15" customWidth="1"/>
  </cols>
  <sheetData>
    <row r="1" ht="6" customHeight="1" thickBot="1"/>
    <row r="2" spans="4:19" ht="13.5" thickTop="1">
      <c r="D2" s="242" t="s">
        <v>173</v>
      </c>
      <c r="E2" s="243"/>
      <c r="F2" s="243"/>
      <c r="G2" s="243"/>
      <c r="H2" s="243"/>
      <c r="I2" s="243"/>
      <c r="J2" s="244"/>
      <c r="K2" s="70"/>
      <c r="L2" s="70"/>
      <c r="M2" s="71"/>
      <c r="N2" s="71"/>
      <c r="O2" s="71"/>
      <c r="P2" s="71"/>
      <c r="Q2" s="88"/>
      <c r="R2" s="88"/>
      <c r="S2" s="88"/>
    </row>
    <row r="3" spans="4:19" ht="13.5" thickBot="1">
      <c r="D3" s="245"/>
      <c r="E3" s="246"/>
      <c r="F3" s="246"/>
      <c r="G3" s="246"/>
      <c r="H3" s="246"/>
      <c r="I3" s="246"/>
      <c r="J3" s="247"/>
      <c r="K3" s="286" t="s">
        <v>17</v>
      </c>
      <c r="L3" s="286"/>
      <c r="M3" s="286"/>
      <c r="N3" s="286"/>
      <c r="O3" s="286"/>
      <c r="P3" s="286"/>
      <c r="Q3" s="88"/>
      <c r="R3" s="88"/>
      <c r="S3" s="88"/>
    </row>
    <row r="4" spans="4:19" ht="4.5" customHeight="1" thickTop="1">
      <c r="D4" s="68"/>
      <c r="E4" s="69"/>
      <c r="F4" s="70"/>
      <c r="G4" s="70"/>
      <c r="H4" s="70"/>
      <c r="I4" s="70"/>
      <c r="J4" s="70"/>
      <c r="K4" s="70"/>
      <c r="L4" s="70"/>
      <c r="M4" s="71"/>
      <c r="N4" s="71"/>
      <c r="O4" s="71"/>
      <c r="P4" s="71"/>
      <c r="Q4" s="88"/>
      <c r="R4" s="88"/>
      <c r="S4" s="88"/>
    </row>
    <row r="5" spans="1:16" s="73" customFormat="1" ht="22.5">
      <c r="A5" s="72"/>
      <c r="C5" s="74"/>
      <c r="D5" s="89" t="s">
        <v>3</v>
      </c>
      <c r="E5" s="90" t="s">
        <v>4</v>
      </c>
      <c r="F5" s="91" t="s">
        <v>38</v>
      </c>
      <c r="G5" s="91" t="s">
        <v>39</v>
      </c>
      <c r="H5" s="92" t="s">
        <v>40</v>
      </c>
      <c r="I5" s="93" t="s">
        <v>45</v>
      </c>
      <c r="J5" s="94" t="s">
        <v>44</v>
      </c>
      <c r="K5" s="95" t="s">
        <v>43</v>
      </c>
      <c r="L5" s="95" t="s">
        <v>56</v>
      </c>
      <c r="M5" s="95" t="s">
        <v>46</v>
      </c>
      <c r="N5" s="96" t="s">
        <v>41</v>
      </c>
      <c r="O5" s="96" t="s">
        <v>42</v>
      </c>
      <c r="P5" s="96" t="s">
        <v>47</v>
      </c>
    </row>
    <row r="6" spans="4:16" ht="12" thickBot="1">
      <c r="D6" s="97" t="s">
        <v>5</v>
      </c>
      <c r="E6" s="98" t="s">
        <v>9</v>
      </c>
      <c r="F6" s="99" t="s">
        <v>5</v>
      </c>
      <c r="G6" s="99" t="s">
        <v>5</v>
      </c>
      <c r="H6" s="100" t="s">
        <v>5</v>
      </c>
      <c r="I6" s="100" t="s">
        <v>48</v>
      </c>
      <c r="J6" s="101" t="s">
        <v>48</v>
      </c>
      <c r="K6" s="98" t="s">
        <v>14</v>
      </c>
      <c r="L6" s="98" t="s">
        <v>7</v>
      </c>
      <c r="M6" s="98" t="s">
        <v>14</v>
      </c>
      <c r="N6" s="99" t="s">
        <v>49</v>
      </c>
      <c r="O6" s="99" t="s">
        <v>50</v>
      </c>
      <c r="P6" s="99" t="s">
        <v>5</v>
      </c>
    </row>
    <row r="7" spans="1:16" ht="12" thickTop="1">
      <c r="A7" s="23">
        <v>1</v>
      </c>
      <c r="B7" s="23">
        <v>1</v>
      </c>
      <c r="C7" s="23">
        <f aca="true" t="shared" si="0" ref="C7:C22">$A$7*100+B7</f>
        <v>101</v>
      </c>
      <c r="D7" s="75">
        <v>0.125</v>
      </c>
      <c r="E7" s="60" t="s">
        <v>11</v>
      </c>
      <c r="F7" s="76">
        <v>0.405</v>
      </c>
      <c r="G7" s="76">
        <v>0.049</v>
      </c>
      <c r="H7" s="77">
        <f aca="true" t="shared" si="1" ref="H7:H13">F7-2*G7</f>
        <v>0.30700000000000005</v>
      </c>
      <c r="I7" s="77">
        <f aca="true" t="shared" si="2" ref="I7:I13">PI()*(F7^2-H7^2)/4</f>
        <v>0.05480194224922035</v>
      </c>
      <c r="J7" s="78">
        <f aca="true" t="shared" si="3" ref="J7:J13">PI()*H7^2/4</f>
        <v>0.07402299150204612</v>
      </c>
      <c r="K7" s="79">
        <f>I7*3.399416</f>
        <v>0.18629459931307565</v>
      </c>
      <c r="L7" s="60">
        <f aca="true" t="shared" si="4" ref="L7:L13">$J7*0.254^3*2.205*12</f>
        <v>0.03209649594924176</v>
      </c>
      <c r="M7" s="106">
        <f aca="true" t="shared" si="5" ref="M7:M13">K7+L7</f>
        <v>0.21839109526231743</v>
      </c>
      <c r="N7" s="80">
        <f aca="true" t="shared" si="6" ref="N7:N13">PI()*(($F7)^4-($H7)^4)/64</f>
        <v>0.0008846198020296964</v>
      </c>
      <c r="O7" s="80">
        <f aca="true" t="shared" si="7" ref="O7:O13">PI()*(($F7)^4-($H7)^4)/(32*($F7))</f>
        <v>0.004368492849529364</v>
      </c>
      <c r="P7" s="80">
        <f aca="true" t="shared" si="8" ref="P7:P122">SQRT(N7/I7)</f>
        <v>0.12705166272032808</v>
      </c>
    </row>
    <row r="8" spans="2:16" ht="11.25">
      <c r="B8" s="15">
        <v>2</v>
      </c>
      <c r="C8" s="23">
        <f t="shared" si="0"/>
        <v>102</v>
      </c>
      <c r="D8" s="24">
        <v>0.125</v>
      </c>
      <c r="E8" s="25">
        <v>40</v>
      </c>
      <c r="F8" s="29">
        <v>0.405</v>
      </c>
      <c r="G8" s="29">
        <v>0.068</v>
      </c>
      <c r="H8" s="27">
        <f t="shared" si="1"/>
        <v>0.269</v>
      </c>
      <c r="I8" s="27">
        <f t="shared" si="2"/>
        <v>0.07199273724966372</v>
      </c>
      <c r="J8" s="26">
        <f t="shared" si="3"/>
        <v>0.05683219650160276</v>
      </c>
      <c r="K8" s="28">
        <f aca="true" t="shared" si="9" ref="K8:K123">I8*3.399416</f>
        <v>0.24473326289030284</v>
      </c>
      <c r="L8" s="60">
        <f t="shared" si="4"/>
        <v>0.024642537781653734</v>
      </c>
      <c r="M8" s="106">
        <f t="shared" si="5"/>
        <v>0.26937580067195654</v>
      </c>
      <c r="N8" s="81">
        <f t="shared" si="6"/>
        <v>0.0010636296992186881</v>
      </c>
      <c r="O8" s="81">
        <f t="shared" si="7"/>
        <v>0.005252492341820682</v>
      </c>
      <c r="P8" s="81">
        <f t="shared" si="8"/>
        <v>0.1215488584890866</v>
      </c>
    </row>
    <row r="9" spans="2:16" ht="11.25">
      <c r="B9" s="15">
        <v>3</v>
      </c>
      <c r="C9" s="23">
        <f t="shared" si="0"/>
        <v>103</v>
      </c>
      <c r="D9" s="24">
        <v>0.125</v>
      </c>
      <c r="E9" s="25" t="s">
        <v>12</v>
      </c>
      <c r="F9" s="29">
        <v>0.405</v>
      </c>
      <c r="G9" s="29">
        <v>0.068</v>
      </c>
      <c r="H9" s="27">
        <f t="shared" si="1"/>
        <v>0.269</v>
      </c>
      <c r="I9" s="27">
        <f t="shared" si="2"/>
        <v>0.07199273724966372</v>
      </c>
      <c r="J9" s="26">
        <f t="shared" si="3"/>
        <v>0.05683219650160276</v>
      </c>
      <c r="K9" s="28">
        <f t="shared" si="9"/>
        <v>0.24473326289030284</v>
      </c>
      <c r="L9" s="60">
        <f t="shared" si="4"/>
        <v>0.024642537781653734</v>
      </c>
      <c r="M9" s="106">
        <f t="shared" si="5"/>
        <v>0.26937580067195654</v>
      </c>
      <c r="N9" s="81">
        <f t="shared" si="6"/>
        <v>0.0010636296992186881</v>
      </c>
      <c r="O9" s="81">
        <f t="shared" si="7"/>
        <v>0.005252492341820682</v>
      </c>
      <c r="P9" s="81">
        <f t="shared" si="8"/>
        <v>0.1215488584890866</v>
      </c>
    </row>
    <row r="10" spans="2:16" ht="11.25">
      <c r="B10" s="15">
        <v>4</v>
      </c>
      <c r="C10" s="23">
        <f t="shared" si="0"/>
        <v>104</v>
      </c>
      <c r="D10" s="24">
        <v>0.125</v>
      </c>
      <c r="E10" s="25" t="s">
        <v>0</v>
      </c>
      <c r="F10" s="29">
        <v>0.405</v>
      </c>
      <c r="G10" s="29">
        <v>0.068</v>
      </c>
      <c r="H10" s="27">
        <f t="shared" si="1"/>
        <v>0.269</v>
      </c>
      <c r="I10" s="27">
        <f t="shared" si="2"/>
        <v>0.07199273724966372</v>
      </c>
      <c r="J10" s="26">
        <f t="shared" si="3"/>
        <v>0.05683219650160276</v>
      </c>
      <c r="K10" s="28">
        <f t="shared" si="9"/>
        <v>0.24473326289030284</v>
      </c>
      <c r="L10" s="60">
        <f t="shared" si="4"/>
        <v>0.024642537781653734</v>
      </c>
      <c r="M10" s="106">
        <f t="shared" si="5"/>
        <v>0.26937580067195654</v>
      </c>
      <c r="N10" s="81">
        <f t="shared" si="6"/>
        <v>0.0010636296992186881</v>
      </c>
      <c r="O10" s="81">
        <f t="shared" si="7"/>
        <v>0.005252492341820682</v>
      </c>
      <c r="P10" s="81">
        <f t="shared" si="8"/>
        <v>0.1215488584890866</v>
      </c>
    </row>
    <row r="11" spans="2:16" ht="11.25">
      <c r="B11" s="15">
        <v>5</v>
      </c>
      <c r="C11" s="23">
        <f t="shared" si="0"/>
        <v>105</v>
      </c>
      <c r="D11" s="24">
        <v>0.125</v>
      </c>
      <c r="E11" s="25">
        <v>80</v>
      </c>
      <c r="F11" s="29">
        <v>0.405</v>
      </c>
      <c r="G11" s="29">
        <v>0.095</v>
      </c>
      <c r="H11" s="27">
        <f t="shared" si="1"/>
        <v>0.21500000000000002</v>
      </c>
      <c r="I11" s="27">
        <f t="shared" si="2"/>
        <v>0.09251990364821942</v>
      </c>
      <c r="J11" s="26">
        <f t="shared" si="3"/>
        <v>0.03630503010304705</v>
      </c>
      <c r="K11" s="28">
        <f t="shared" si="9"/>
        <v>0.3145136407802155</v>
      </c>
      <c r="L11" s="60">
        <f t="shared" si="4"/>
        <v>0.01574192325917198</v>
      </c>
      <c r="M11" s="106">
        <f t="shared" si="5"/>
        <v>0.3302555640393875</v>
      </c>
      <c r="N11" s="81">
        <f t="shared" si="6"/>
        <v>0.0012157693588773835</v>
      </c>
      <c r="O11" s="81">
        <f t="shared" si="7"/>
        <v>0.0060037993030981895</v>
      </c>
      <c r="P11" s="81">
        <f t="shared" si="8"/>
        <v>0.11463256518110376</v>
      </c>
    </row>
    <row r="12" spans="2:16" ht="11.25">
      <c r="B12" s="15">
        <v>6</v>
      </c>
      <c r="C12" s="23">
        <f t="shared" si="0"/>
        <v>106</v>
      </c>
      <c r="D12" s="24">
        <v>0.125</v>
      </c>
      <c r="E12" s="25" t="s">
        <v>13</v>
      </c>
      <c r="F12" s="29">
        <v>0.405</v>
      </c>
      <c r="G12" s="29">
        <v>0.095</v>
      </c>
      <c r="H12" s="27">
        <f t="shared" si="1"/>
        <v>0.21500000000000002</v>
      </c>
      <c r="I12" s="27">
        <f t="shared" si="2"/>
        <v>0.09251990364821942</v>
      </c>
      <c r="J12" s="26">
        <f t="shared" si="3"/>
        <v>0.03630503010304705</v>
      </c>
      <c r="K12" s="28">
        <f t="shared" si="9"/>
        <v>0.3145136407802155</v>
      </c>
      <c r="L12" s="60">
        <f t="shared" si="4"/>
        <v>0.01574192325917198</v>
      </c>
      <c r="M12" s="106">
        <f t="shared" si="5"/>
        <v>0.3302555640393875</v>
      </c>
      <c r="N12" s="81">
        <f t="shared" si="6"/>
        <v>0.0012157693588773835</v>
      </c>
      <c r="O12" s="81">
        <f t="shared" si="7"/>
        <v>0.0060037993030981895</v>
      </c>
      <c r="P12" s="81">
        <f t="shared" si="8"/>
        <v>0.11463256518110376</v>
      </c>
    </row>
    <row r="13" spans="2:16" ht="11.25">
      <c r="B13" s="15">
        <v>7</v>
      </c>
      <c r="C13" s="23">
        <f t="shared" si="0"/>
        <v>107</v>
      </c>
      <c r="D13" s="24">
        <v>0.125</v>
      </c>
      <c r="E13" s="25" t="s">
        <v>1</v>
      </c>
      <c r="F13" s="29">
        <v>0.405</v>
      </c>
      <c r="G13" s="29">
        <v>0.095</v>
      </c>
      <c r="H13" s="27">
        <f t="shared" si="1"/>
        <v>0.21500000000000002</v>
      </c>
      <c r="I13" s="27">
        <f t="shared" si="2"/>
        <v>0.09251990364821942</v>
      </c>
      <c r="J13" s="26">
        <f t="shared" si="3"/>
        <v>0.03630503010304705</v>
      </c>
      <c r="K13" s="28">
        <f t="shared" si="9"/>
        <v>0.3145136407802155</v>
      </c>
      <c r="L13" s="60">
        <f t="shared" si="4"/>
        <v>0.01574192325917198</v>
      </c>
      <c r="M13" s="106">
        <f t="shared" si="5"/>
        <v>0.3302555640393875</v>
      </c>
      <c r="N13" s="81">
        <f t="shared" si="6"/>
        <v>0.0012157693588773835</v>
      </c>
      <c r="O13" s="81">
        <f t="shared" si="7"/>
        <v>0.0060037993030981895</v>
      </c>
      <c r="P13" s="81">
        <f t="shared" si="8"/>
        <v>0.11463256518110376</v>
      </c>
    </row>
    <row r="14" spans="2:16" ht="11.25" hidden="1">
      <c r="B14" s="15">
        <v>8</v>
      </c>
      <c r="C14" s="23">
        <f t="shared" si="0"/>
        <v>108</v>
      </c>
      <c r="D14" s="24"/>
      <c r="E14" s="25"/>
      <c r="F14" s="29"/>
      <c r="G14" s="29"/>
      <c r="H14" s="27"/>
      <c r="I14" s="27"/>
      <c r="J14" s="26"/>
      <c r="K14" s="28"/>
      <c r="L14" s="79"/>
      <c r="M14" s="60"/>
      <c r="N14" s="81"/>
      <c r="O14" s="81"/>
      <c r="P14" s="81"/>
    </row>
    <row r="15" spans="2:16" ht="11.25" hidden="1">
      <c r="B15" s="15">
        <v>9</v>
      </c>
      <c r="C15" s="23">
        <f t="shared" si="0"/>
        <v>109</v>
      </c>
      <c r="D15" s="24"/>
      <c r="E15" s="25"/>
      <c r="F15" s="29"/>
      <c r="G15" s="29"/>
      <c r="H15" s="27"/>
      <c r="I15" s="27"/>
      <c r="J15" s="26"/>
      <c r="K15" s="28"/>
      <c r="L15" s="79"/>
      <c r="M15" s="60"/>
      <c r="N15" s="81"/>
      <c r="O15" s="81"/>
      <c r="P15" s="81"/>
    </row>
    <row r="16" spans="2:16" ht="11.25" hidden="1">
      <c r="B16" s="15">
        <v>10</v>
      </c>
      <c r="C16" s="23">
        <f t="shared" si="0"/>
        <v>110</v>
      </c>
      <c r="D16" s="24"/>
      <c r="E16" s="25"/>
      <c r="F16" s="29"/>
      <c r="G16" s="29"/>
      <c r="H16" s="27"/>
      <c r="I16" s="27"/>
      <c r="J16" s="26"/>
      <c r="K16" s="28"/>
      <c r="L16" s="79"/>
      <c r="M16" s="60"/>
      <c r="N16" s="81"/>
      <c r="O16" s="81"/>
      <c r="P16" s="81"/>
    </row>
    <row r="17" spans="2:16" ht="11.25" hidden="1">
      <c r="B17" s="15">
        <v>11</v>
      </c>
      <c r="C17" s="23">
        <f t="shared" si="0"/>
        <v>111</v>
      </c>
      <c r="D17" s="24"/>
      <c r="E17" s="25"/>
      <c r="F17" s="29"/>
      <c r="G17" s="29"/>
      <c r="H17" s="27"/>
      <c r="I17" s="27"/>
      <c r="J17" s="26"/>
      <c r="K17" s="28"/>
      <c r="L17" s="79"/>
      <c r="M17" s="60"/>
      <c r="N17" s="81"/>
      <c r="O17" s="81"/>
      <c r="P17" s="81"/>
    </row>
    <row r="18" spans="2:16" ht="11.25" hidden="1">
      <c r="B18" s="15">
        <v>12</v>
      </c>
      <c r="C18" s="23">
        <f t="shared" si="0"/>
        <v>112</v>
      </c>
      <c r="D18" s="24"/>
      <c r="E18" s="25"/>
      <c r="F18" s="29"/>
      <c r="G18" s="29"/>
      <c r="H18" s="27"/>
      <c r="I18" s="27"/>
      <c r="J18" s="26"/>
      <c r="K18" s="28"/>
      <c r="L18" s="79"/>
      <c r="M18" s="60"/>
      <c r="N18" s="81"/>
      <c r="O18" s="81"/>
      <c r="P18" s="81"/>
    </row>
    <row r="19" spans="2:16" ht="11.25" hidden="1">
      <c r="B19" s="15">
        <v>13</v>
      </c>
      <c r="C19" s="23">
        <f t="shared" si="0"/>
        <v>113</v>
      </c>
      <c r="D19" s="24"/>
      <c r="E19" s="25"/>
      <c r="F19" s="29"/>
      <c r="G19" s="29"/>
      <c r="H19" s="27"/>
      <c r="I19" s="27"/>
      <c r="J19" s="26"/>
      <c r="K19" s="28"/>
      <c r="L19" s="79"/>
      <c r="M19" s="60"/>
      <c r="N19" s="81"/>
      <c r="O19" s="81"/>
      <c r="P19" s="81"/>
    </row>
    <row r="20" spans="2:16" ht="11.25" hidden="1">
      <c r="B20" s="15">
        <v>14</v>
      </c>
      <c r="C20" s="23">
        <f t="shared" si="0"/>
        <v>114</v>
      </c>
      <c r="D20" s="24"/>
      <c r="E20" s="25"/>
      <c r="F20" s="29"/>
      <c r="G20" s="29"/>
      <c r="H20" s="27"/>
      <c r="I20" s="27"/>
      <c r="J20" s="26"/>
      <c r="K20" s="28"/>
      <c r="L20" s="79"/>
      <c r="M20" s="60"/>
      <c r="N20" s="81"/>
      <c r="O20" s="81"/>
      <c r="P20" s="81"/>
    </row>
    <row r="21" spans="2:16" ht="11.25" hidden="1">
      <c r="B21" s="15">
        <v>15</v>
      </c>
      <c r="C21" s="23">
        <f t="shared" si="0"/>
        <v>115</v>
      </c>
      <c r="D21" s="24"/>
      <c r="E21" s="25"/>
      <c r="F21" s="29"/>
      <c r="G21" s="29"/>
      <c r="H21" s="27"/>
      <c r="I21" s="27"/>
      <c r="J21" s="26"/>
      <c r="K21" s="28"/>
      <c r="L21" s="79"/>
      <c r="M21" s="60"/>
      <c r="N21" s="81"/>
      <c r="O21" s="81"/>
      <c r="P21" s="81"/>
    </row>
    <row r="22" spans="2:16" ht="11.25" hidden="1">
      <c r="B22" s="15">
        <v>16</v>
      </c>
      <c r="C22" s="23">
        <f t="shared" si="0"/>
        <v>116</v>
      </c>
      <c r="D22" s="24"/>
      <c r="E22" s="25"/>
      <c r="F22" s="29"/>
      <c r="G22" s="29"/>
      <c r="H22" s="27"/>
      <c r="I22" s="27"/>
      <c r="J22" s="26"/>
      <c r="K22" s="28"/>
      <c r="L22" s="79"/>
      <c r="M22" s="60"/>
      <c r="N22" s="81"/>
      <c r="O22" s="81"/>
      <c r="P22" s="81"/>
    </row>
    <row r="23" spans="1:16" ht="11.25">
      <c r="A23" s="23">
        <v>2</v>
      </c>
      <c r="B23" s="15">
        <v>1</v>
      </c>
      <c r="C23" s="23">
        <f>$A$23*100+B23</f>
        <v>201</v>
      </c>
      <c r="D23" s="24">
        <v>0.25</v>
      </c>
      <c r="E23" s="25" t="s">
        <v>11</v>
      </c>
      <c r="F23" s="29">
        <v>0.54</v>
      </c>
      <c r="G23" s="29">
        <v>0.065</v>
      </c>
      <c r="H23" s="27">
        <f aca="true" t="shared" si="10" ref="H23:H29">F23-2*G23</f>
        <v>0.41000000000000003</v>
      </c>
      <c r="I23" s="27">
        <f aca="true" t="shared" si="11" ref="I23:I29">PI()*(F23^2-H23^2)/4</f>
        <v>0.09699667317958487</v>
      </c>
      <c r="J23" s="26">
        <f aca="true" t="shared" si="12" ref="J23:J29">PI()*H23^2/4</f>
        <v>0.13202543126711108</v>
      </c>
      <c r="K23" s="28">
        <f t="shared" si="9"/>
        <v>0.3297320427534517</v>
      </c>
      <c r="L23" s="60">
        <f aca="true" t="shared" si="13" ref="L23:L29">$J23*0.254^3*2.205*12</f>
        <v>0.05724645321507432</v>
      </c>
      <c r="M23" s="106">
        <f aca="true" t="shared" si="14" ref="M23:M29">K23+L23</f>
        <v>0.386978495968526</v>
      </c>
      <c r="N23" s="81">
        <f aca="true" t="shared" si="15" ref="N23:N29">PI()*(($F23)^4-($H23)^4)/64</f>
        <v>0.002786835666290948</v>
      </c>
      <c r="O23" s="81">
        <f aca="true" t="shared" si="16" ref="O23:O29">PI()*(($F23)^4-($H23)^4)/(32*($F23))</f>
        <v>0.010321613578855362</v>
      </c>
      <c r="P23" s="81">
        <f t="shared" si="8"/>
        <v>0.1695029498268393</v>
      </c>
    </row>
    <row r="24" spans="2:16" ht="11.25">
      <c r="B24" s="15">
        <v>2</v>
      </c>
      <c r="C24" s="23">
        <f aca="true" t="shared" si="17" ref="C24:C38">$A$23*100+B24</f>
        <v>202</v>
      </c>
      <c r="D24" s="24">
        <v>0.25</v>
      </c>
      <c r="E24" s="25">
        <v>40</v>
      </c>
      <c r="F24" s="29">
        <v>0.54</v>
      </c>
      <c r="G24" s="29">
        <v>0.088</v>
      </c>
      <c r="H24" s="27">
        <f t="shared" si="10"/>
        <v>0.36400000000000005</v>
      </c>
      <c r="I24" s="27">
        <f t="shared" si="11"/>
        <v>0.1249599893891876</v>
      </c>
      <c r="J24" s="26">
        <f t="shared" si="12"/>
        <v>0.10406211505750833</v>
      </c>
      <c r="K24" s="28">
        <f t="shared" si="9"/>
        <v>0.4247909872894346</v>
      </c>
      <c r="L24" s="60">
        <f t="shared" si="13"/>
        <v>0.045121511393126035</v>
      </c>
      <c r="M24" s="106">
        <f t="shared" si="14"/>
        <v>0.46991249868256063</v>
      </c>
      <c r="N24" s="81">
        <f t="shared" si="15"/>
        <v>0.0033121894787498077</v>
      </c>
      <c r="O24" s="81">
        <f t="shared" si="16"/>
        <v>0.012267368439814103</v>
      </c>
      <c r="P24" s="81">
        <f t="shared" si="8"/>
        <v>0.16280663377147753</v>
      </c>
    </row>
    <row r="25" spans="2:16" ht="11.25">
      <c r="B25" s="15">
        <v>3</v>
      </c>
      <c r="C25" s="23">
        <f t="shared" si="17"/>
        <v>203</v>
      </c>
      <c r="D25" s="24">
        <v>0.25</v>
      </c>
      <c r="E25" s="25" t="s">
        <v>12</v>
      </c>
      <c r="F25" s="29">
        <v>0.54</v>
      </c>
      <c r="G25" s="29">
        <v>0.088</v>
      </c>
      <c r="H25" s="27">
        <f t="shared" si="10"/>
        <v>0.36400000000000005</v>
      </c>
      <c r="I25" s="27">
        <f t="shared" si="11"/>
        <v>0.1249599893891876</v>
      </c>
      <c r="J25" s="26">
        <f t="shared" si="12"/>
        <v>0.10406211505750833</v>
      </c>
      <c r="K25" s="28">
        <f t="shared" si="9"/>
        <v>0.4247909872894346</v>
      </c>
      <c r="L25" s="60">
        <f t="shared" si="13"/>
        <v>0.045121511393126035</v>
      </c>
      <c r="M25" s="106">
        <f t="shared" si="14"/>
        <v>0.46991249868256063</v>
      </c>
      <c r="N25" s="81">
        <f t="shared" si="15"/>
        <v>0.0033121894787498077</v>
      </c>
      <c r="O25" s="81">
        <f t="shared" si="16"/>
        <v>0.012267368439814103</v>
      </c>
      <c r="P25" s="81">
        <f t="shared" si="8"/>
        <v>0.16280663377147753</v>
      </c>
    </row>
    <row r="26" spans="2:16" ht="11.25">
      <c r="B26" s="15">
        <v>4</v>
      </c>
      <c r="C26" s="23">
        <f t="shared" si="17"/>
        <v>204</v>
      </c>
      <c r="D26" s="24">
        <v>0.25</v>
      </c>
      <c r="E26" s="25" t="s">
        <v>0</v>
      </c>
      <c r="F26" s="29">
        <v>0.54</v>
      </c>
      <c r="G26" s="29">
        <v>0.088</v>
      </c>
      <c r="H26" s="27">
        <f t="shared" si="10"/>
        <v>0.36400000000000005</v>
      </c>
      <c r="I26" s="27">
        <f t="shared" si="11"/>
        <v>0.1249599893891876</v>
      </c>
      <c r="J26" s="26">
        <f t="shared" si="12"/>
        <v>0.10406211505750833</v>
      </c>
      <c r="K26" s="28">
        <f t="shared" si="9"/>
        <v>0.4247909872894346</v>
      </c>
      <c r="L26" s="60">
        <f t="shared" si="13"/>
        <v>0.045121511393126035</v>
      </c>
      <c r="M26" s="106">
        <f t="shared" si="14"/>
        <v>0.46991249868256063</v>
      </c>
      <c r="N26" s="81">
        <f t="shared" si="15"/>
        <v>0.0033121894787498077</v>
      </c>
      <c r="O26" s="81">
        <f t="shared" si="16"/>
        <v>0.012267368439814103</v>
      </c>
      <c r="P26" s="81">
        <f t="shared" si="8"/>
        <v>0.16280663377147753</v>
      </c>
    </row>
    <row r="27" spans="2:16" ht="11.25">
      <c r="B27" s="15">
        <v>5</v>
      </c>
      <c r="C27" s="23">
        <f t="shared" si="17"/>
        <v>205</v>
      </c>
      <c r="D27" s="24">
        <v>0.25</v>
      </c>
      <c r="E27" s="25">
        <v>80</v>
      </c>
      <c r="F27" s="29">
        <v>0.54</v>
      </c>
      <c r="G27" s="29">
        <v>0.119</v>
      </c>
      <c r="H27" s="27">
        <f t="shared" si="10"/>
        <v>0.30200000000000005</v>
      </c>
      <c r="I27" s="27">
        <f t="shared" si="11"/>
        <v>0.15739065035219507</v>
      </c>
      <c r="J27" s="26">
        <f t="shared" si="12"/>
        <v>0.07163145409450089</v>
      </c>
      <c r="K27" s="28">
        <f t="shared" si="9"/>
        <v>0.5350362950576576</v>
      </c>
      <c r="L27" s="60">
        <f t="shared" si="13"/>
        <v>0.031059521231574287</v>
      </c>
      <c r="M27" s="106">
        <f t="shared" si="14"/>
        <v>0.5660958162892319</v>
      </c>
      <c r="N27" s="81">
        <f t="shared" si="15"/>
        <v>0.003765610657338855</v>
      </c>
      <c r="O27" s="81">
        <f t="shared" si="16"/>
        <v>0.013946706138292055</v>
      </c>
      <c r="P27" s="81">
        <f t="shared" si="8"/>
        <v>0.15467789111569888</v>
      </c>
    </row>
    <row r="28" spans="2:16" ht="11.25">
      <c r="B28" s="15">
        <v>6</v>
      </c>
      <c r="C28" s="23">
        <f t="shared" si="17"/>
        <v>206</v>
      </c>
      <c r="D28" s="24">
        <v>0.25</v>
      </c>
      <c r="E28" s="25" t="s">
        <v>13</v>
      </c>
      <c r="F28" s="29">
        <v>0.54</v>
      </c>
      <c r="G28" s="29">
        <v>0.119</v>
      </c>
      <c r="H28" s="27">
        <f t="shared" si="10"/>
        <v>0.30200000000000005</v>
      </c>
      <c r="I28" s="27">
        <f t="shared" si="11"/>
        <v>0.15739065035219507</v>
      </c>
      <c r="J28" s="26">
        <f t="shared" si="12"/>
        <v>0.07163145409450089</v>
      </c>
      <c r="K28" s="28">
        <f t="shared" si="9"/>
        <v>0.5350362950576576</v>
      </c>
      <c r="L28" s="60">
        <f t="shared" si="13"/>
        <v>0.031059521231574287</v>
      </c>
      <c r="M28" s="106">
        <f t="shared" si="14"/>
        <v>0.5660958162892319</v>
      </c>
      <c r="N28" s="81">
        <f t="shared" si="15"/>
        <v>0.003765610657338855</v>
      </c>
      <c r="O28" s="81">
        <f t="shared" si="16"/>
        <v>0.013946706138292055</v>
      </c>
      <c r="P28" s="81">
        <f t="shared" si="8"/>
        <v>0.15467789111569888</v>
      </c>
    </row>
    <row r="29" spans="2:16" ht="11.25">
      <c r="B29" s="15">
        <v>7</v>
      </c>
      <c r="C29" s="23">
        <f t="shared" si="17"/>
        <v>207</v>
      </c>
      <c r="D29" s="24">
        <v>0.25</v>
      </c>
      <c r="E29" s="25" t="s">
        <v>1</v>
      </c>
      <c r="F29" s="29">
        <v>0.54</v>
      </c>
      <c r="G29" s="29">
        <v>0.119</v>
      </c>
      <c r="H29" s="27">
        <f t="shared" si="10"/>
        <v>0.30200000000000005</v>
      </c>
      <c r="I29" s="27">
        <f t="shared" si="11"/>
        <v>0.15739065035219507</v>
      </c>
      <c r="J29" s="26">
        <f t="shared" si="12"/>
        <v>0.07163145409450089</v>
      </c>
      <c r="K29" s="28">
        <f t="shared" si="9"/>
        <v>0.5350362950576576</v>
      </c>
      <c r="L29" s="60">
        <f t="shared" si="13"/>
        <v>0.031059521231574287</v>
      </c>
      <c r="M29" s="106">
        <f t="shared" si="14"/>
        <v>0.5660958162892319</v>
      </c>
      <c r="N29" s="81">
        <f t="shared" si="15"/>
        <v>0.003765610657338855</v>
      </c>
      <c r="O29" s="81">
        <f t="shared" si="16"/>
        <v>0.013946706138292055</v>
      </c>
      <c r="P29" s="81">
        <f t="shared" si="8"/>
        <v>0.15467789111569888</v>
      </c>
    </row>
    <row r="30" spans="2:16" ht="11.25" hidden="1">
      <c r="B30" s="15">
        <v>8</v>
      </c>
      <c r="C30" s="23">
        <f t="shared" si="17"/>
        <v>208</v>
      </c>
      <c r="D30" s="24"/>
      <c r="E30" s="25"/>
      <c r="F30" s="29"/>
      <c r="G30" s="29"/>
      <c r="H30" s="27"/>
      <c r="I30" s="27"/>
      <c r="J30" s="26"/>
      <c r="K30" s="28"/>
      <c r="L30" s="79"/>
      <c r="M30" s="60"/>
      <c r="N30" s="81"/>
      <c r="O30" s="81"/>
      <c r="P30" s="81"/>
    </row>
    <row r="31" spans="2:16" ht="11.25" hidden="1">
      <c r="B31" s="15">
        <v>9</v>
      </c>
      <c r="C31" s="23">
        <f t="shared" si="17"/>
        <v>209</v>
      </c>
      <c r="D31" s="24"/>
      <c r="E31" s="25"/>
      <c r="F31" s="29"/>
      <c r="G31" s="29"/>
      <c r="H31" s="27"/>
      <c r="I31" s="27"/>
      <c r="J31" s="26"/>
      <c r="K31" s="28"/>
      <c r="L31" s="79"/>
      <c r="M31" s="60"/>
      <c r="N31" s="81"/>
      <c r="O31" s="81"/>
      <c r="P31" s="81"/>
    </row>
    <row r="32" spans="2:16" ht="11.25" hidden="1">
      <c r="B32" s="15">
        <v>10</v>
      </c>
      <c r="C32" s="23">
        <f t="shared" si="17"/>
        <v>210</v>
      </c>
      <c r="D32" s="24"/>
      <c r="E32" s="25"/>
      <c r="F32" s="29"/>
      <c r="G32" s="29"/>
      <c r="H32" s="27"/>
      <c r="I32" s="27"/>
      <c r="J32" s="26"/>
      <c r="K32" s="28"/>
      <c r="L32" s="79"/>
      <c r="M32" s="60"/>
      <c r="N32" s="81"/>
      <c r="O32" s="81"/>
      <c r="P32" s="81"/>
    </row>
    <row r="33" spans="2:16" ht="11.25" hidden="1">
      <c r="B33" s="15">
        <v>11</v>
      </c>
      <c r="C33" s="23">
        <f t="shared" si="17"/>
        <v>211</v>
      </c>
      <c r="D33" s="24"/>
      <c r="E33" s="25"/>
      <c r="F33" s="29"/>
      <c r="G33" s="29"/>
      <c r="H33" s="27"/>
      <c r="I33" s="27"/>
      <c r="J33" s="26"/>
      <c r="K33" s="28"/>
      <c r="L33" s="79"/>
      <c r="M33" s="60"/>
      <c r="N33" s="81"/>
      <c r="O33" s="81"/>
      <c r="P33" s="81"/>
    </row>
    <row r="34" spans="2:16" ht="11.25" hidden="1">
      <c r="B34" s="15">
        <v>12</v>
      </c>
      <c r="C34" s="23">
        <f t="shared" si="17"/>
        <v>212</v>
      </c>
      <c r="D34" s="24"/>
      <c r="E34" s="25"/>
      <c r="F34" s="29"/>
      <c r="G34" s="29"/>
      <c r="H34" s="27"/>
      <c r="I34" s="27"/>
      <c r="J34" s="26"/>
      <c r="K34" s="28"/>
      <c r="L34" s="79"/>
      <c r="M34" s="60"/>
      <c r="N34" s="81"/>
      <c r="O34" s="81"/>
      <c r="P34" s="81"/>
    </row>
    <row r="35" spans="2:16" ht="11.25" hidden="1">
      <c r="B35" s="15">
        <v>13</v>
      </c>
      <c r="C35" s="23">
        <f t="shared" si="17"/>
        <v>213</v>
      </c>
      <c r="D35" s="24"/>
      <c r="E35" s="25"/>
      <c r="F35" s="29"/>
      <c r="G35" s="29"/>
      <c r="H35" s="27"/>
      <c r="I35" s="27"/>
      <c r="J35" s="26"/>
      <c r="K35" s="28"/>
      <c r="L35" s="79"/>
      <c r="M35" s="60"/>
      <c r="N35" s="81"/>
      <c r="O35" s="81"/>
      <c r="P35" s="81"/>
    </row>
    <row r="36" spans="2:16" ht="11.25" hidden="1">
      <c r="B36" s="15">
        <v>14</v>
      </c>
      <c r="C36" s="23">
        <f t="shared" si="17"/>
        <v>214</v>
      </c>
      <c r="D36" s="24"/>
      <c r="E36" s="25"/>
      <c r="F36" s="29"/>
      <c r="G36" s="29"/>
      <c r="H36" s="27"/>
      <c r="I36" s="27"/>
      <c r="J36" s="26"/>
      <c r="K36" s="28"/>
      <c r="L36" s="79"/>
      <c r="M36" s="60"/>
      <c r="N36" s="81"/>
      <c r="O36" s="81"/>
      <c r="P36" s="81"/>
    </row>
    <row r="37" spans="2:16" ht="11.25" hidden="1">
      <c r="B37" s="15">
        <v>15</v>
      </c>
      <c r="C37" s="23">
        <f t="shared" si="17"/>
        <v>215</v>
      </c>
      <c r="D37" s="24"/>
      <c r="E37" s="25"/>
      <c r="F37" s="29"/>
      <c r="G37" s="29"/>
      <c r="H37" s="27"/>
      <c r="I37" s="27"/>
      <c r="J37" s="26"/>
      <c r="K37" s="28"/>
      <c r="L37" s="79"/>
      <c r="M37" s="60"/>
      <c r="N37" s="81"/>
      <c r="O37" s="81"/>
      <c r="P37" s="81"/>
    </row>
    <row r="38" spans="2:16" ht="11.25" hidden="1">
      <c r="B38" s="15">
        <v>16</v>
      </c>
      <c r="C38" s="23">
        <f t="shared" si="17"/>
        <v>216</v>
      </c>
      <c r="D38" s="24"/>
      <c r="E38" s="25"/>
      <c r="F38" s="29"/>
      <c r="G38" s="29"/>
      <c r="H38" s="27"/>
      <c r="I38" s="27"/>
      <c r="J38" s="26"/>
      <c r="K38" s="28"/>
      <c r="L38" s="79"/>
      <c r="M38" s="60"/>
      <c r="N38" s="81"/>
      <c r="O38" s="81"/>
      <c r="P38" s="81"/>
    </row>
    <row r="39" spans="1:16" ht="11.25">
      <c r="A39" s="23">
        <v>3</v>
      </c>
      <c r="B39" s="15">
        <v>1</v>
      </c>
      <c r="C39" s="23">
        <f>$A$39*100+B39</f>
        <v>301</v>
      </c>
      <c r="D39" s="24">
        <v>0.375</v>
      </c>
      <c r="E39" s="25" t="s">
        <v>11</v>
      </c>
      <c r="F39" s="29">
        <v>0.675</v>
      </c>
      <c r="G39" s="29">
        <v>0.065</v>
      </c>
      <c r="H39" s="27">
        <f aca="true" t="shared" si="18" ref="H39:H45">F39-2*G39</f>
        <v>0.545</v>
      </c>
      <c r="I39" s="27">
        <f aca="true" t="shared" si="19" ref="I39:I45">PI()*(F39^2-H39^2)/4</f>
        <v>0.12456414871483532</v>
      </c>
      <c r="J39" s="26">
        <f aca="true" t="shared" si="20" ref="J39:J45">PI()*H39^2/4</f>
        <v>0.23328288948312711</v>
      </c>
      <c r="K39" s="28">
        <f t="shared" si="9"/>
        <v>0.4234453601675906</v>
      </c>
      <c r="L39" s="60">
        <f aca="true" t="shared" si="21" ref="L39:L45">$J39*0.254^3*2.205*12</f>
        <v>0.10115186059611807</v>
      </c>
      <c r="M39" s="106">
        <f aca="true" t="shared" si="22" ref="M39:M45">K39+L39</f>
        <v>0.5245972207637086</v>
      </c>
      <c r="N39" s="81">
        <f aca="true" t="shared" si="23" ref="N39:N45">PI()*(($F39)^4-($H39)^4)/64</f>
        <v>0.005859575408138801</v>
      </c>
      <c r="O39" s="81">
        <f aca="true" t="shared" si="24" ref="O39:O45">PI()*(($F39)^4-($H39)^4)/(32*($F39))</f>
        <v>0.017361704913003855</v>
      </c>
      <c r="P39" s="81">
        <f t="shared" si="8"/>
        <v>0.21688850822484812</v>
      </c>
    </row>
    <row r="40" spans="2:16" ht="11.25">
      <c r="B40" s="15">
        <v>2</v>
      </c>
      <c r="C40" s="23">
        <f aca="true" t="shared" si="25" ref="C40:C54">$A$39*100+B40</f>
        <v>302</v>
      </c>
      <c r="D40" s="24">
        <v>0.375</v>
      </c>
      <c r="E40" s="25">
        <v>40</v>
      </c>
      <c r="F40" s="29">
        <v>0.675</v>
      </c>
      <c r="G40" s="29">
        <v>0.091</v>
      </c>
      <c r="H40" s="27">
        <f t="shared" si="18"/>
        <v>0.49300000000000005</v>
      </c>
      <c r="I40" s="27">
        <f t="shared" si="19"/>
        <v>0.16695679998237598</v>
      </c>
      <c r="J40" s="26">
        <f t="shared" si="20"/>
        <v>0.19089023821558643</v>
      </c>
      <c r="K40" s="28">
        <f t="shared" si="9"/>
        <v>0.5675556171688886</v>
      </c>
      <c r="L40" s="60">
        <f t="shared" si="21"/>
        <v>0.08277033436924805</v>
      </c>
      <c r="M40" s="106">
        <f t="shared" si="22"/>
        <v>0.6503259515381367</v>
      </c>
      <c r="N40" s="81">
        <f t="shared" si="23"/>
        <v>0.007290523454430412</v>
      </c>
      <c r="O40" s="81">
        <f t="shared" si="24"/>
        <v>0.02160155097609011</v>
      </c>
      <c r="P40" s="81">
        <f t="shared" si="8"/>
        <v>0.20896680358372718</v>
      </c>
    </row>
    <row r="41" spans="2:16" ht="11.25">
      <c r="B41" s="15">
        <v>3</v>
      </c>
      <c r="C41" s="23">
        <f t="shared" si="25"/>
        <v>303</v>
      </c>
      <c r="D41" s="24">
        <v>0.375</v>
      </c>
      <c r="E41" s="25" t="s">
        <v>12</v>
      </c>
      <c r="F41" s="29">
        <v>0.675</v>
      </c>
      <c r="G41" s="29">
        <v>0.091</v>
      </c>
      <c r="H41" s="27">
        <f t="shared" si="18"/>
        <v>0.49300000000000005</v>
      </c>
      <c r="I41" s="27">
        <f t="shared" si="19"/>
        <v>0.16695679998237598</v>
      </c>
      <c r="J41" s="26">
        <f t="shared" si="20"/>
        <v>0.19089023821558643</v>
      </c>
      <c r="K41" s="28">
        <f t="shared" si="9"/>
        <v>0.5675556171688886</v>
      </c>
      <c r="L41" s="60">
        <f t="shared" si="21"/>
        <v>0.08277033436924805</v>
      </c>
      <c r="M41" s="106">
        <f t="shared" si="22"/>
        <v>0.6503259515381367</v>
      </c>
      <c r="N41" s="81">
        <f t="shared" si="23"/>
        <v>0.007290523454430412</v>
      </c>
      <c r="O41" s="81">
        <f t="shared" si="24"/>
        <v>0.02160155097609011</v>
      </c>
      <c r="P41" s="81">
        <f t="shared" si="8"/>
        <v>0.20896680358372718</v>
      </c>
    </row>
    <row r="42" spans="2:16" ht="12" customHeight="1">
      <c r="B42" s="15">
        <v>4</v>
      </c>
      <c r="C42" s="23">
        <f t="shared" si="25"/>
        <v>304</v>
      </c>
      <c r="D42" s="24">
        <v>0.375</v>
      </c>
      <c r="E42" s="25" t="s">
        <v>0</v>
      </c>
      <c r="F42" s="29">
        <v>0.675</v>
      </c>
      <c r="G42" s="29">
        <v>0.091</v>
      </c>
      <c r="H42" s="27">
        <f t="shared" si="18"/>
        <v>0.49300000000000005</v>
      </c>
      <c r="I42" s="27">
        <f t="shared" si="19"/>
        <v>0.16695679998237598</v>
      </c>
      <c r="J42" s="26">
        <f t="shared" si="20"/>
        <v>0.19089023821558643</v>
      </c>
      <c r="K42" s="28">
        <f t="shared" si="9"/>
        <v>0.5675556171688886</v>
      </c>
      <c r="L42" s="60">
        <f t="shared" si="21"/>
        <v>0.08277033436924805</v>
      </c>
      <c r="M42" s="106">
        <f t="shared" si="22"/>
        <v>0.6503259515381367</v>
      </c>
      <c r="N42" s="81">
        <f t="shared" si="23"/>
        <v>0.007290523454430412</v>
      </c>
      <c r="O42" s="81">
        <f t="shared" si="24"/>
        <v>0.02160155097609011</v>
      </c>
      <c r="P42" s="81">
        <f t="shared" si="8"/>
        <v>0.20896680358372718</v>
      </c>
    </row>
    <row r="43" spans="2:16" ht="12" customHeight="1">
      <c r="B43" s="15">
        <v>5</v>
      </c>
      <c r="C43" s="23">
        <f t="shared" si="25"/>
        <v>305</v>
      </c>
      <c r="D43" s="24">
        <v>0.375</v>
      </c>
      <c r="E43" s="25">
        <v>80</v>
      </c>
      <c r="F43" s="29">
        <v>0.675</v>
      </c>
      <c r="G43" s="29">
        <v>0.126</v>
      </c>
      <c r="H43" s="27">
        <f t="shared" si="18"/>
        <v>0.42300000000000004</v>
      </c>
      <c r="I43" s="27">
        <f t="shared" si="19"/>
        <v>0.21731653021942038</v>
      </c>
      <c r="J43" s="26">
        <f t="shared" si="20"/>
        <v>0.14053050797854205</v>
      </c>
      <c r="K43" s="28">
        <f t="shared" si="9"/>
        <v>0.7387492898923811</v>
      </c>
      <c r="L43" s="60">
        <f t="shared" si="21"/>
        <v>0.06093426905008942</v>
      </c>
      <c r="M43" s="106">
        <f t="shared" si="22"/>
        <v>0.7996835589424705</v>
      </c>
      <c r="N43" s="81">
        <f t="shared" si="23"/>
        <v>0.008618692094803381</v>
      </c>
      <c r="O43" s="81">
        <f t="shared" si="24"/>
        <v>0.02553686546608409</v>
      </c>
      <c r="P43" s="81">
        <f t="shared" si="8"/>
        <v>0.1991472445202293</v>
      </c>
    </row>
    <row r="44" spans="2:16" ht="11.25">
      <c r="B44" s="15">
        <v>6</v>
      </c>
      <c r="C44" s="23">
        <f t="shared" si="25"/>
        <v>306</v>
      </c>
      <c r="D44" s="24">
        <v>0.375</v>
      </c>
      <c r="E44" s="25" t="s">
        <v>13</v>
      </c>
      <c r="F44" s="29">
        <v>0.675</v>
      </c>
      <c r="G44" s="29">
        <v>0.126</v>
      </c>
      <c r="H44" s="27">
        <f t="shared" si="18"/>
        <v>0.42300000000000004</v>
      </c>
      <c r="I44" s="27">
        <f t="shared" si="19"/>
        <v>0.21731653021942038</v>
      </c>
      <c r="J44" s="26">
        <f t="shared" si="20"/>
        <v>0.14053050797854205</v>
      </c>
      <c r="K44" s="28">
        <f t="shared" si="9"/>
        <v>0.7387492898923811</v>
      </c>
      <c r="L44" s="60">
        <f t="shared" si="21"/>
        <v>0.06093426905008942</v>
      </c>
      <c r="M44" s="106">
        <f t="shared" si="22"/>
        <v>0.7996835589424705</v>
      </c>
      <c r="N44" s="81">
        <f t="shared" si="23"/>
        <v>0.008618692094803381</v>
      </c>
      <c r="O44" s="81">
        <f t="shared" si="24"/>
        <v>0.02553686546608409</v>
      </c>
      <c r="P44" s="81">
        <f t="shared" si="8"/>
        <v>0.1991472445202293</v>
      </c>
    </row>
    <row r="45" spans="2:16" ht="11.25">
      <c r="B45" s="15">
        <v>7</v>
      </c>
      <c r="C45" s="23">
        <f t="shared" si="25"/>
        <v>307</v>
      </c>
      <c r="D45" s="24">
        <v>0.375</v>
      </c>
      <c r="E45" s="25" t="s">
        <v>1</v>
      </c>
      <c r="F45" s="29">
        <v>0.675</v>
      </c>
      <c r="G45" s="29">
        <v>0.126</v>
      </c>
      <c r="H45" s="27">
        <f t="shared" si="18"/>
        <v>0.42300000000000004</v>
      </c>
      <c r="I45" s="27">
        <f t="shared" si="19"/>
        <v>0.21731653021942038</v>
      </c>
      <c r="J45" s="26">
        <f t="shared" si="20"/>
        <v>0.14053050797854205</v>
      </c>
      <c r="K45" s="28">
        <f t="shared" si="9"/>
        <v>0.7387492898923811</v>
      </c>
      <c r="L45" s="60">
        <f t="shared" si="21"/>
        <v>0.06093426905008942</v>
      </c>
      <c r="M45" s="106">
        <f t="shared" si="22"/>
        <v>0.7996835589424705</v>
      </c>
      <c r="N45" s="81">
        <f t="shared" si="23"/>
        <v>0.008618692094803381</v>
      </c>
      <c r="O45" s="81">
        <f t="shared" si="24"/>
        <v>0.02553686546608409</v>
      </c>
      <c r="P45" s="81">
        <f t="shared" si="8"/>
        <v>0.1991472445202293</v>
      </c>
    </row>
    <row r="46" spans="2:16" ht="11.25" hidden="1">
      <c r="B46" s="15">
        <v>8</v>
      </c>
      <c r="C46" s="23">
        <f t="shared" si="25"/>
        <v>308</v>
      </c>
      <c r="D46" s="24"/>
      <c r="E46" s="25"/>
      <c r="F46" s="29"/>
      <c r="G46" s="29"/>
      <c r="H46" s="27"/>
      <c r="I46" s="27"/>
      <c r="J46" s="26"/>
      <c r="K46" s="28"/>
      <c r="L46" s="79"/>
      <c r="M46" s="60"/>
      <c r="N46" s="81"/>
      <c r="O46" s="81"/>
      <c r="P46" s="81"/>
    </row>
    <row r="47" spans="2:16" ht="11.25" hidden="1">
      <c r="B47" s="15">
        <v>9</v>
      </c>
      <c r="C47" s="23">
        <f t="shared" si="25"/>
        <v>309</v>
      </c>
      <c r="D47" s="24"/>
      <c r="E47" s="25"/>
      <c r="F47" s="29"/>
      <c r="G47" s="29"/>
      <c r="H47" s="27"/>
      <c r="I47" s="27"/>
      <c r="J47" s="26"/>
      <c r="K47" s="28"/>
      <c r="L47" s="79"/>
      <c r="M47" s="60"/>
      <c r="N47" s="81"/>
      <c r="O47" s="81"/>
      <c r="P47" s="81"/>
    </row>
    <row r="48" spans="2:16" ht="11.25" hidden="1">
      <c r="B48" s="15">
        <v>10</v>
      </c>
      <c r="C48" s="23">
        <f t="shared" si="25"/>
        <v>310</v>
      </c>
      <c r="D48" s="24"/>
      <c r="E48" s="25"/>
      <c r="F48" s="29"/>
      <c r="G48" s="29"/>
      <c r="H48" s="27"/>
      <c r="I48" s="27"/>
      <c r="J48" s="26"/>
      <c r="K48" s="28"/>
      <c r="L48" s="79"/>
      <c r="M48" s="60"/>
      <c r="N48" s="81"/>
      <c r="O48" s="81"/>
      <c r="P48" s="81"/>
    </row>
    <row r="49" spans="2:16" ht="11.25" hidden="1">
      <c r="B49" s="15">
        <v>11</v>
      </c>
      <c r="C49" s="23">
        <f t="shared" si="25"/>
        <v>311</v>
      </c>
      <c r="D49" s="24"/>
      <c r="E49" s="25"/>
      <c r="F49" s="29"/>
      <c r="G49" s="29"/>
      <c r="H49" s="27"/>
      <c r="I49" s="27"/>
      <c r="J49" s="26"/>
      <c r="K49" s="28"/>
      <c r="L49" s="79"/>
      <c r="M49" s="60"/>
      <c r="N49" s="81"/>
      <c r="O49" s="81"/>
      <c r="P49" s="81"/>
    </row>
    <row r="50" spans="2:16" ht="11.25" hidden="1">
      <c r="B50" s="15">
        <v>12</v>
      </c>
      <c r="C50" s="23">
        <f t="shared" si="25"/>
        <v>312</v>
      </c>
      <c r="D50" s="24"/>
      <c r="E50" s="25"/>
      <c r="F50" s="29"/>
      <c r="G50" s="29"/>
      <c r="H50" s="27"/>
      <c r="I50" s="27"/>
      <c r="J50" s="26"/>
      <c r="K50" s="28"/>
      <c r="L50" s="79"/>
      <c r="M50" s="60"/>
      <c r="N50" s="81"/>
      <c r="O50" s="81"/>
      <c r="P50" s="81"/>
    </row>
    <row r="51" spans="2:16" ht="11.25" hidden="1">
      <c r="B51" s="15">
        <v>13</v>
      </c>
      <c r="C51" s="23">
        <f t="shared" si="25"/>
        <v>313</v>
      </c>
      <c r="D51" s="24"/>
      <c r="E51" s="25"/>
      <c r="F51" s="29"/>
      <c r="G51" s="29"/>
      <c r="H51" s="27"/>
      <c r="I51" s="27"/>
      <c r="J51" s="26"/>
      <c r="K51" s="28"/>
      <c r="L51" s="79"/>
      <c r="M51" s="60"/>
      <c r="N51" s="81"/>
      <c r="O51" s="81"/>
      <c r="P51" s="81"/>
    </row>
    <row r="52" spans="2:16" ht="11.25" hidden="1">
      <c r="B52" s="15">
        <v>14</v>
      </c>
      <c r="C52" s="23">
        <f t="shared" si="25"/>
        <v>314</v>
      </c>
      <c r="D52" s="24"/>
      <c r="E52" s="25"/>
      <c r="F52" s="29"/>
      <c r="G52" s="29"/>
      <c r="H52" s="27"/>
      <c r="I52" s="27"/>
      <c r="J52" s="26"/>
      <c r="K52" s="28"/>
      <c r="L52" s="79"/>
      <c r="M52" s="60"/>
      <c r="N52" s="81"/>
      <c r="O52" s="81"/>
      <c r="P52" s="81"/>
    </row>
    <row r="53" spans="2:16" ht="11.25" hidden="1">
      <c r="B53" s="15">
        <v>15</v>
      </c>
      <c r="C53" s="23">
        <f t="shared" si="25"/>
        <v>315</v>
      </c>
      <c r="D53" s="24"/>
      <c r="E53" s="25"/>
      <c r="F53" s="29"/>
      <c r="G53" s="29"/>
      <c r="H53" s="27"/>
      <c r="I53" s="27"/>
      <c r="J53" s="26"/>
      <c r="K53" s="28"/>
      <c r="L53" s="79"/>
      <c r="M53" s="60"/>
      <c r="N53" s="81"/>
      <c r="O53" s="81"/>
      <c r="P53" s="81"/>
    </row>
    <row r="54" spans="2:16" ht="11.25" hidden="1">
      <c r="B54" s="15">
        <v>16</v>
      </c>
      <c r="C54" s="23">
        <f t="shared" si="25"/>
        <v>316</v>
      </c>
      <c r="D54" s="24"/>
      <c r="E54" s="25"/>
      <c r="F54" s="29"/>
      <c r="G54" s="29"/>
      <c r="H54" s="27"/>
      <c r="I54" s="27"/>
      <c r="J54" s="26"/>
      <c r="K54" s="28"/>
      <c r="L54" s="79"/>
      <c r="M54" s="60"/>
      <c r="N54" s="81"/>
      <c r="O54" s="81"/>
      <c r="P54" s="81"/>
    </row>
    <row r="55" spans="1:16" ht="11.25">
      <c r="A55" s="23">
        <v>4</v>
      </c>
      <c r="B55" s="15">
        <v>1</v>
      </c>
      <c r="C55" s="23">
        <f>$A$55*100+B55</f>
        <v>401</v>
      </c>
      <c r="D55" s="24">
        <v>0.5</v>
      </c>
      <c r="E55" s="25" t="s">
        <v>11</v>
      </c>
      <c r="F55" s="29">
        <v>0.84</v>
      </c>
      <c r="G55" s="29">
        <v>0.083</v>
      </c>
      <c r="H55" s="27">
        <f aca="true" t="shared" si="26" ref="H55:H61">F55-2*G55</f>
        <v>0.6739999999999999</v>
      </c>
      <c r="I55" s="27">
        <f aca="true" t="shared" si="27" ref="I55:I61">PI()*(F55^2-H55^2)/4</f>
        <v>0.19738940801770027</v>
      </c>
      <c r="J55" s="26">
        <f aca="true" t="shared" si="28" ref="J55:J61">PI()*H55^2/4</f>
        <v>0.35678753607553915</v>
      </c>
      <c r="K55" s="28">
        <f t="shared" si="9"/>
        <v>0.6710087118458986</v>
      </c>
      <c r="L55" s="60">
        <f aca="true" t="shared" si="29" ref="L55:L63">$J55*0.254^3*2.205*12</f>
        <v>0.1547036869763896</v>
      </c>
      <c r="M55" s="106">
        <f aca="true" t="shared" si="30" ref="M55:M63">K55+L55</f>
        <v>0.8257123988222882</v>
      </c>
      <c r="N55" s="81">
        <f>PI()*(($F55)^4-($H55)^4)/64</f>
        <v>0.014309202313371133</v>
      </c>
      <c r="O55" s="81">
        <f>PI()*(($F55)^4-($H55)^4)/(32*($F55))</f>
        <v>0.03406952931755032</v>
      </c>
      <c r="P55" s="81">
        <f t="shared" si="8"/>
        <v>0.26924384858339845</v>
      </c>
    </row>
    <row r="56" spans="2:16" ht="11.25">
      <c r="B56" s="15">
        <v>2</v>
      </c>
      <c r="C56" s="23">
        <f aca="true" t="shared" si="31" ref="C56:C70">$A$55*100+B56</f>
        <v>402</v>
      </c>
      <c r="D56" s="24">
        <v>0.5</v>
      </c>
      <c r="E56" s="25">
        <v>40</v>
      </c>
      <c r="F56" s="29">
        <v>0.84</v>
      </c>
      <c r="G56" s="29">
        <v>0.109</v>
      </c>
      <c r="H56" s="27">
        <f t="shared" si="26"/>
        <v>0.622</v>
      </c>
      <c r="I56" s="27">
        <f t="shared" si="27"/>
        <v>0.25031896104538104</v>
      </c>
      <c r="J56" s="26">
        <f t="shared" si="28"/>
        <v>0.3038579830478584</v>
      </c>
      <c r="K56" s="28">
        <f t="shared" si="9"/>
        <v>0.850938281281045</v>
      </c>
      <c r="L56" s="60">
        <f t="shared" si="29"/>
        <v>0.13175334209197387</v>
      </c>
      <c r="M56" s="106">
        <f t="shared" si="30"/>
        <v>0.9826916233730189</v>
      </c>
      <c r="N56" s="81">
        <f>PI()*(($F56)^4-($H56)^4)/64</f>
        <v>0.01709184123991888</v>
      </c>
      <c r="O56" s="81">
        <f>PI()*(($F56)^4-($H56)^4)/(32*($F56))</f>
        <v>0.04069486009504495</v>
      </c>
      <c r="P56" s="81">
        <f t="shared" si="8"/>
        <v>0.26130489853808714</v>
      </c>
    </row>
    <row r="57" spans="2:16" ht="11.25">
      <c r="B57" s="15">
        <v>3</v>
      </c>
      <c r="C57" s="23">
        <f t="shared" si="31"/>
        <v>403</v>
      </c>
      <c r="D57" s="24">
        <v>0.5</v>
      </c>
      <c r="E57" s="25" t="s">
        <v>12</v>
      </c>
      <c r="F57" s="29">
        <v>0.84</v>
      </c>
      <c r="G57" s="29">
        <v>0.109</v>
      </c>
      <c r="H57" s="27">
        <f t="shared" si="26"/>
        <v>0.622</v>
      </c>
      <c r="I57" s="27">
        <f t="shared" si="27"/>
        <v>0.25031896104538104</v>
      </c>
      <c r="J57" s="26">
        <f t="shared" si="28"/>
        <v>0.3038579830478584</v>
      </c>
      <c r="K57" s="28">
        <f t="shared" si="9"/>
        <v>0.850938281281045</v>
      </c>
      <c r="L57" s="60">
        <f t="shared" si="29"/>
        <v>0.13175334209197387</v>
      </c>
      <c r="M57" s="106">
        <f t="shared" si="30"/>
        <v>0.9826916233730189</v>
      </c>
      <c r="N57" s="81">
        <f>PI()*(($F57)^4-($H57)^4)/64</f>
        <v>0.01709184123991888</v>
      </c>
      <c r="O57" s="81">
        <f>PI()*(($F57)^4-($H57)^4)/(32*($F57))</f>
        <v>0.04069486009504495</v>
      </c>
      <c r="P57" s="81">
        <f t="shared" si="8"/>
        <v>0.26130489853808714</v>
      </c>
    </row>
    <row r="58" spans="2:16" ht="11.25">
      <c r="B58" s="15">
        <v>4</v>
      </c>
      <c r="C58" s="23">
        <f t="shared" si="31"/>
        <v>404</v>
      </c>
      <c r="D58" s="24">
        <v>0.5</v>
      </c>
      <c r="E58" s="25" t="s">
        <v>0</v>
      </c>
      <c r="F58" s="29">
        <v>0.84</v>
      </c>
      <c r="G58" s="29">
        <v>0.109</v>
      </c>
      <c r="H58" s="27">
        <f t="shared" si="26"/>
        <v>0.622</v>
      </c>
      <c r="I58" s="27">
        <f t="shared" si="27"/>
        <v>0.25031896104538104</v>
      </c>
      <c r="J58" s="26">
        <f t="shared" si="28"/>
        <v>0.3038579830478584</v>
      </c>
      <c r="K58" s="28">
        <f t="shared" si="9"/>
        <v>0.850938281281045</v>
      </c>
      <c r="L58" s="60">
        <f t="shared" si="29"/>
        <v>0.13175334209197387</v>
      </c>
      <c r="M58" s="106">
        <f t="shared" si="30"/>
        <v>0.9826916233730189</v>
      </c>
      <c r="N58" s="81">
        <f aca="true" t="shared" si="32" ref="N58:N63">PI()*(($F58)^4-($H58)^4)/64</f>
        <v>0.01709184123991888</v>
      </c>
      <c r="O58" s="81">
        <f aca="true" t="shared" si="33" ref="O58:O63">PI()*(($F58)^4-($H58)^4)/(32*($F58))</f>
        <v>0.04069486009504495</v>
      </c>
      <c r="P58" s="81">
        <f t="shared" si="8"/>
        <v>0.26130489853808714</v>
      </c>
    </row>
    <row r="59" spans="2:16" ht="11.25">
      <c r="B59" s="15">
        <v>5</v>
      </c>
      <c r="C59" s="23">
        <f t="shared" si="31"/>
        <v>405</v>
      </c>
      <c r="D59" s="24">
        <v>0.5</v>
      </c>
      <c r="E59" s="25">
        <v>80</v>
      </c>
      <c r="F59" s="29">
        <v>0.84</v>
      </c>
      <c r="G59" s="29">
        <v>0.147</v>
      </c>
      <c r="H59" s="27">
        <f t="shared" si="26"/>
        <v>0.546</v>
      </c>
      <c r="I59" s="27">
        <f t="shared" si="27"/>
        <v>0.3200371852138457</v>
      </c>
      <c r="J59" s="26">
        <f t="shared" si="28"/>
        <v>0.23413975887939373</v>
      </c>
      <c r="K59" s="28">
        <f t="shared" si="9"/>
        <v>1.0879395280109105</v>
      </c>
      <c r="L59" s="60">
        <f t="shared" si="29"/>
        <v>0.10152340063453358</v>
      </c>
      <c r="M59" s="106">
        <f t="shared" si="30"/>
        <v>1.1894629286454441</v>
      </c>
      <c r="N59" s="81">
        <f t="shared" si="32"/>
        <v>0.020076652712131274</v>
      </c>
      <c r="O59" s="81">
        <f t="shared" si="33"/>
        <v>0.047801554076503036</v>
      </c>
      <c r="P59" s="81">
        <f t="shared" si="8"/>
        <v>0.25046406927940784</v>
      </c>
    </row>
    <row r="60" spans="2:16" ht="11.25">
      <c r="B60" s="15">
        <v>6</v>
      </c>
      <c r="C60" s="23">
        <f t="shared" si="31"/>
        <v>406</v>
      </c>
      <c r="D60" s="24">
        <v>0.5</v>
      </c>
      <c r="E60" s="25" t="s">
        <v>13</v>
      </c>
      <c r="F60" s="29">
        <v>0.84</v>
      </c>
      <c r="G60" s="29">
        <v>0.147</v>
      </c>
      <c r="H60" s="27">
        <f t="shared" si="26"/>
        <v>0.546</v>
      </c>
      <c r="I60" s="27">
        <f t="shared" si="27"/>
        <v>0.3200371852138457</v>
      </c>
      <c r="J60" s="26">
        <f t="shared" si="28"/>
        <v>0.23413975887939373</v>
      </c>
      <c r="K60" s="28">
        <f t="shared" si="9"/>
        <v>1.0879395280109105</v>
      </c>
      <c r="L60" s="60">
        <f t="shared" si="29"/>
        <v>0.10152340063453358</v>
      </c>
      <c r="M60" s="106">
        <f t="shared" si="30"/>
        <v>1.1894629286454441</v>
      </c>
      <c r="N60" s="81">
        <f t="shared" si="32"/>
        <v>0.020076652712131274</v>
      </c>
      <c r="O60" s="81">
        <f t="shared" si="33"/>
        <v>0.047801554076503036</v>
      </c>
      <c r="P60" s="81">
        <f t="shared" si="8"/>
        <v>0.25046406927940784</v>
      </c>
    </row>
    <row r="61" spans="2:16" ht="11.25">
      <c r="B61" s="15">
        <v>7</v>
      </c>
      <c r="C61" s="23">
        <f t="shared" si="31"/>
        <v>407</v>
      </c>
      <c r="D61" s="24">
        <v>0.5</v>
      </c>
      <c r="E61" s="25" t="s">
        <v>1</v>
      </c>
      <c r="F61" s="29">
        <v>0.84</v>
      </c>
      <c r="G61" s="29">
        <v>0.147</v>
      </c>
      <c r="H61" s="27">
        <f t="shared" si="26"/>
        <v>0.546</v>
      </c>
      <c r="I61" s="27">
        <f t="shared" si="27"/>
        <v>0.3200371852138457</v>
      </c>
      <c r="J61" s="26">
        <f t="shared" si="28"/>
        <v>0.23413975887939373</v>
      </c>
      <c r="K61" s="28">
        <f t="shared" si="9"/>
        <v>1.0879395280109105</v>
      </c>
      <c r="L61" s="60">
        <f t="shared" si="29"/>
        <v>0.10152340063453358</v>
      </c>
      <c r="M61" s="106">
        <f t="shared" si="30"/>
        <v>1.1894629286454441</v>
      </c>
      <c r="N61" s="81">
        <f t="shared" si="32"/>
        <v>0.020076652712131274</v>
      </c>
      <c r="O61" s="81">
        <f t="shared" si="33"/>
        <v>0.047801554076503036</v>
      </c>
      <c r="P61" s="81">
        <f t="shared" si="8"/>
        <v>0.25046406927940784</v>
      </c>
    </row>
    <row r="62" spans="2:16" ht="11.25">
      <c r="B62" s="15">
        <v>8</v>
      </c>
      <c r="C62" s="23">
        <f t="shared" si="31"/>
        <v>408</v>
      </c>
      <c r="D62" s="24">
        <v>0.5</v>
      </c>
      <c r="E62" s="25">
        <v>160</v>
      </c>
      <c r="F62" s="29">
        <v>0.84</v>
      </c>
      <c r="G62" s="29">
        <v>0.187</v>
      </c>
      <c r="H62" s="27">
        <f>F62-2*G62</f>
        <v>0.46599999999999997</v>
      </c>
      <c r="I62" s="27">
        <f>PI()*(F62^2-H62^2)/4</f>
        <v>0.3836230205225032</v>
      </c>
      <c r="J62" s="26">
        <f>PI()*H62^2/4</f>
        <v>0.17055392357073626</v>
      </c>
      <c r="K62" s="28">
        <f t="shared" si="9"/>
        <v>1.3040942339325257</v>
      </c>
      <c r="L62" s="60">
        <f t="shared" si="29"/>
        <v>0.07395247349418604</v>
      </c>
      <c r="M62" s="106">
        <f t="shared" si="30"/>
        <v>1.3780467074267118</v>
      </c>
      <c r="N62" s="81">
        <f t="shared" si="32"/>
        <v>0.022124402745328932</v>
      </c>
      <c r="O62" s="81">
        <f t="shared" si="33"/>
        <v>0.052677149393640314</v>
      </c>
      <c r="P62" s="81">
        <f t="shared" si="8"/>
        <v>0.24015047366182726</v>
      </c>
    </row>
    <row r="63" spans="2:16" ht="11.25">
      <c r="B63" s="15">
        <v>9</v>
      </c>
      <c r="C63" s="23">
        <f t="shared" si="31"/>
        <v>409</v>
      </c>
      <c r="D63" s="24">
        <v>0.5</v>
      </c>
      <c r="E63" s="25" t="s">
        <v>2</v>
      </c>
      <c r="F63" s="29">
        <v>0.84</v>
      </c>
      <c r="G63" s="29">
        <v>0.294</v>
      </c>
      <c r="H63" s="27">
        <f>F63-2*G63</f>
        <v>0.252</v>
      </c>
      <c r="I63" s="27">
        <f>PI()*(F63^2-H63^2)/4</f>
        <v>0.5043010191248478</v>
      </c>
      <c r="J63" s="26">
        <f>PI()*H63^2/4</f>
        <v>0.049875924968391556</v>
      </c>
      <c r="K63" s="28">
        <f t="shared" si="9"/>
        <v>1.7143289532293136</v>
      </c>
      <c r="L63" s="60">
        <f t="shared" si="29"/>
        <v>0.021626286525699458</v>
      </c>
      <c r="M63" s="106">
        <f t="shared" si="30"/>
        <v>1.735955239755013</v>
      </c>
      <c r="N63" s="81">
        <f t="shared" si="32"/>
        <v>0.024241245688312308</v>
      </c>
      <c r="O63" s="81">
        <f t="shared" si="33"/>
        <v>0.05771725163883883</v>
      </c>
      <c r="P63" s="81">
        <f t="shared" si="8"/>
        <v>0.21924643668712154</v>
      </c>
    </row>
    <row r="64" spans="2:16" ht="11.25" hidden="1">
      <c r="B64" s="15">
        <v>10</v>
      </c>
      <c r="C64" s="23">
        <f t="shared" si="31"/>
        <v>410</v>
      </c>
      <c r="D64" s="24"/>
      <c r="E64" s="25"/>
      <c r="F64" s="29"/>
      <c r="G64" s="29"/>
      <c r="H64" s="27"/>
      <c r="I64" s="27"/>
      <c r="J64" s="26"/>
      <c r="K64" s="28"/>
      <c r="L64" s="79"/>
      <c r="M64" s="60"/>
      <c r="N64" s="81"/>
      <c r="O64" s="81"/>
      <c r="P64" s="81"/>
    </row>
    <row r="65" spans="2:16" ht="11.25" hidden="1">
      <c r="B65" s="15">
        <v>11</v>
      </c>
      <c r="C65" s="23">
        <f t="shared" si="31"/>
        <v>411</v>
      </c>
      <c r="D65" s="24"/>
      <c r="E65" s="25"/>
      <c r="F65" s="29"/>
      <c r="G65" s="29"/>
      <c r="H65" s="27"/>
      <c r="I65" s="27"/>
      <c r="J65" s="26"/>
      <c r="K65" s="28"/>
      <c r="L65" s="79"/>
      <c r="M65" s="60"/>
      <c r="N65" s="81"/>
      <c r="O65" s="81"/>
      <c r="P65" s="81"/>
    </row>
    <row r="66" spans="2:16" ht="11.25" hidden="1">
      <c r="B66" s="15">
        <v>12</v>
      </c>
      <c r="C66" s="23">
        <f t="shared" si="31"/>
        <v>412</v>
      </c>
      <c r="D66" s="24"/>
      <c r="E66" s="25"/>
      <c r="F66" s="29"/>
      <c r="G66" s="29"/>
      <c r="H66" s="27"/>
      <c r="I66" s="27"/>
      <c r="J66" s="26"/>
      <c r="K66" s="28"/>
      <c r="L66" s="79"/>
      <c r="M66" s="60"/>
      <c r="N66" s="81"/>
      <c r="O66" s="81"/>
      <c r="P66" s="81"/>
    </row>
    <row r="67" spans="2:16" ht="11.25" hidden="1">
      <c r="B67" s="15">
        <v>13</v>
      </c>
      <c r="C67" s="23">
        <f t="shared" si="31"/>
        <v>413</v>
      </c>
      <c r="D67" s="24"/>
      <c r="E67" s="25"/>
      <c r="F67" s="29"/>
      <c r="G67" s="29"/>
      <c r="H67" s="27"/>
      <c r="I67" s="27"/>
      <c r="J67" s="26"/>
      <c r="K67" s="28"/>
      <c r="L67" s="79"/>
      <c r="M67" s="60"/>
      <c r="N67" s="81"/>
      <c r="O67" s="81"/>
      <c r="P67" s="81"/>
    </row>
    <row r="68" spans="2:16" ht="11.25" hidden="1">
      <c r="B68" s="15">
        <v>14</v>
      </c>
      <c r="C68" s="23">
        <f t="shared" si="31"/>
        <v>414</v>
      </c>
      <c r="D68" s="24"/>
      <c r="E68" s="25"/>
      <c r="F68" s="29"/>
      <c r="G68" s="29"/>
      <c r="H68" s="27"/>
      <c r="I68" s="27"/>
      <c r="J68" s="26"/>
      <c r="K68" s="28"/>
      <c r="L68" s="79"/>
      <c r="M68" s="60"/>
      <c r="N68" s="81"/>
      <c r="O68" s="81"/>
      <c r="P68" s="81"/>
    </row>
    <row r="69" spans="2:16" ht="11.25" hidden="1">
      <c r="B69" s="15">
        <v>15</v>
      </c>
      <c r="C69" s="23">
        <f t="shared" si="31"/>
        <v>415</v>
      </c>
      <c r="D69" s="24"/>
      <c r="E69" s="25"/>
      <c r="F69" s="29"/>
      <c r="G69" s="29"/>
      <c r="H69" s="27"/>
      <c r="I69" s="27"/>
      <c r="J69" s="26"/>
      <c r="K69" s="28"/>
      <c r="L69" s="79"/>
      <c r="M69" s="60"/>
      <c r="N69" s="81"/>
      <c r="O69" s="81"/>
      <c r="P69" s="81"/>
    </row>
    <row r="70" spans="2:16" ht="11.25" hidden="1">
      <c r="B70" s="15">
        <v>16</v>
      </c>
      <c r="C70" s="23">
        <f t="shared" si="31"/>
        <v>416</v>
      </c>
      <c r="D70" s="24"/>
      <c r="E70" s="25"/>
      <c r="F70" s="29"/>
      <c r="G70" s="29"/>
      <c r="H70" s="27"/>
      <c r="I70" s="27"/>
      <c r="J70" s="26"/>
      <c r="K70" s="28"/>
      <c r="L70" s="79"/>
      <c r="M70" s="60"/>
      <c r="N70" s="81"/>
      <c r="O70" s="81"/>
      <c r="P70" s="81"/>
    </row>
    <row r="71" spans="1:16" ht="11.25">
      <c r="A71" s="23">
        <v>5</v>
      </c>
      <c r="B71" s="15">
        <v>1</v>
      </c>
      <c r="C71" s="23">
        <f>$A$71*100+B71</f>
        <v>501</v>
      </c>
      <c r="D71" s="24">
        <v>0.75</v>
      </c>
      <c r="E71" s="25" t="s">
        <v>10</v>
      </c>
      <c r="F71" s="29">
        <v>1.05</v>
      </c>
      <c r="G71" s="29">
        <v>0.065</v>
      </c>
      <c r="H71" s="27">
        <f>F71-2*G71</f>
        <v>0.92</v>
      </c>
      <c r="I71" s="27">
        <f>PI()*(F71^2-H71^2)/4</f>
        <v>0.2011404696460865</v>
      </c>
      <c r="J71" s="26">
        <f>PI()*H71^2/4</f>
        <v>0.6647610054996003</v>
      </c>
      <c r="K71" s="28">
        <f t="shared" si="9"/>
        <v>0.6837601307624208</v>
      </c>
      <c r="L71" s="60">
        <f aca="true" t="shared" si="34" ref="L71:L80">$J71*0.254^3*2.205*12</f>
        <v>0.28824151101272394</v>
      </c>
      <c r="M71" s="106">
        <f aca="true" t="shared" si="35" ref="M71:M80">K71+L71</f>
        <v>0.9720016417751447</v>
      </c>
      <c r="N71" s="81">
        <f>PI()*(($F71)^4-($H71)^4)/64</f>
        <v>0.024500166330828622</v>
      </c>
      <c r="O71" s="81">
        <f>PI()*(($F71)^4-($H71)^4)/(32*($F71))</f>
        <v>0.04666698348729261</v>
      </c>
      <c r="P71" s="81">
        <f t="shared" si="8"/>
        <v>0.3490075214089232</v>
      </c>
    </row>
    <row r="72" spans="2:16" ht="11.25">
      <c r="B72" s="15">
        <v>2</v>
      </c>
      <c r="C72" s="23">
        <f aca="true" t="shared" si="36" ref="C72:C86">$A$71*100+B72</f>
        <v>502</v>
      </c>
      <c r="D72" s="24">
        <v>0.75</v>
      </c>
      <c r="E72" s="25" t="s">
        <v>11</v>
      </c>
      <c r="F72" s="29">
        <v>1.05</v>
      </c>
      <c r="G72" s="29">
        <v>0.083</v>
      </c>
      <c r="H72" s="27">
        <f aca="true" t="shared" si="37" ref="H72:H80">F72-2*G72</f>
        <v>0.884</v>
      </c>
      <c r="I72" s="27">
        <f aca="true" t="shared" si="38" ref="I72:I80">PI()*(F72^2-H72^2)/4</f>
        <v>0.2521473679697704</v>
      </c>
      <c r="J72" s="26">
        <f aca="true" t="shared" si="39" ref="J72:J80">PI()*H72^2/4</f>
        <v>0.6137541071759164</v>
      </c>
      <c r="K72" s="28">
        <f t="shared" si="9"/>
        <v>0.8571537970343249</v>
      </c>
      <c r="L72" s="60">
        <f t="shared" si="34"/>
        <v>0.2661248325023147</v>
      </c>
      <c r="M72" s="106">
        <f t="shared" si="35"/>
        <v>1.1232786295366397</v>
      </c>
      <c r="N72" s="81">
        <f>PI()*(($F72)^4-($H72)^4)/64</f>
        <v>0.02968965917317854</v>
      </c>
      <c r="O72" s="81">
        <f>PI()*(($F72)^4-($H72)^4)/(32*($F72))</f>
        <v>0.056551731758435315</v>
      </c>
      <c r="P72" s="81">
        <f t="shared" si="8"/>
        <v>0.3431431916853371</v>
      </c>
    </row>
    <row r="73" spans="2:16" ht="11.25">
      <c r="B73" s="15">
        <v>3</v>
      </c>
      <c r="C73" s="23">
        <f t="shared" si="36"/>
        <v>503</v>
      </c>
      <c r="D73" s="24">
        <v>0.75</v>
      </c>
      <c r="E73" s="25">
        <v>40</v>
      </c>
      <c r="F73" s="29">
        <v>1.05</v>
      </c>
      <c r="G73" s="29">
        <v>0.113</v>
      </c>
      <c r="H73" s="27">
        <f t="shared" si="37"/>
        <v>0.8240000000000001</v>
      </c>
      <c r="I73" s="27">
        <f t="shared" si="38"/>
        <v>0.3326349717547408</v>
      </c>
      <c r="J73" s="26">
        <f t="shared" si="39"/>
        <v>0.533266503390946</v>
      </c>
      <c r="K73" s="28">
        <f t="shared" si="9"/>
        <v>1.130764645142614</v>
      </c>
      <c r="L73" s="60">
        <f t="shared" si="34"/>
        <v>0.2312252695904717</v>
      </c>
      <c r="M73" s="106">
        <f t="shared" si="35"/>
        <v>1.3619899147330858</v>
      </c>
      <c r="N73" s="81">
        <f>PI()*(($F73)^4-($H73)^4)/64</f>
        <v>0.03703632618385929</v>
      </c>
      <c r="O73" s="81">
        <f>PI()*(($F73)^4-($H73)^4)/(32*($F73))</f>
        <v>0.07054538320735103</v>
      </c>
      <c r="P73" s="81">
        <f t="shared" si="8"/>
        <v>0.3336798615439655</v>
      </c>
    </row>
    <row r="74" spans="2:16" ht="11.25">
      <c r="B74" s="15">
        <v>4</v>
      </c>
      <c r="C74" s="23">
        <f t="shared" si="36"/>
        <v>504</v>
      </c>
      <c r="D74" s="24">
        <v>0.75</v>
      </c>
      <c r="E74" s="25" t="s">
        <v>12</v>
      </c>
      <c r="F74" s="29">
        <v>1.05</v>
      </c>
      <c r="G74" s="29">
        <v>0.113</v>
      </c>
      <c r="H74" s="27">
        <f t="shared" si="37"/>
        <v>0.8240000000000001</v>
      </c>
      <c r="I74" s="27">
        <f t="shared" si="38"/>
        <v>0.3326349717547408</v>
      </c>
      <c r="J74" s="26">
        <f t="shared" si="39"/>
        <v>0.533266503390946</v>
      </c>
      <c r="K74" s="28">
        <f t="shared" si="9"/>
        <v>1.130764645142614</v>
      </c>
      <c r="L74" s="60">
        <f t="shared" si="34"/>
        <v>0.2312252695904717</v>
      </c>
      <c r="M74" s="106">
        <f t="shared" si="35"/>
        <v>1.3619899147330858</v>
      </c>
      <c r="N74" s="81">
        <f>PI()*(($F74)^4-($H74)^4)/64</f>
        <v>0.03703632618385929</v>
      </c>
      <c r="O74" s="81">
        <f>PI()*(($F74)^4-($H74)^4)/(32*($F74))</f>
        <v>0.07054538320735103</v>
      </c>
      <c r="P74" s="81">
        <f t="shared" si="8"/>
        <v>0.3336798615439655</v>
      </c>
    </row>
    <row r="75" spans="2:16" ht="11.25">
      <c r="B75" s="15">
        <v>5</v>
      </c>
      <c r="C75" s="23">
        <f t="shared" si="36"/>
        <v>505</v>
      </c>
      <c r="D75" s="24">
        <v>0.75</v>
      </c>
      <c r="E75" s="25" t="s">
        <v>0</v>
      </c>
      <c r="F75" s="29">
        <v>1.05</v>
      </c>
      <c r="G75" s="29">
        <v>0.113</v>
      </c>
      <c r="H75" s="27">
        <f t="shared" si="37"/>
        <v>0.8240000000000001</v>
      </c>
      <c r="I75" s="27">
        <f t="shared" si="38"/>
        <v>0.3326349717547408</v>
      </c>
      <c r="J75" s="26">
        <f t="shared" si="39"/>
        <v>0.533266503390946</v>
      </c>
      <c r="K75" s="28">
        <f t="shared" si="9"/>
        <v>1.130764645142614</v>
      </c>
      <c r="L75" s="60">
        <f t="shared" si="34"/>
        <v>0.2312252695904717</v>
      </c>
      <c r="M75" s="106">
        <f t="shared" si="35"/>
        <v>1.3619899147330858</v>
      </c>
      <c r="N75" s="81">
        <f aca="true" t="shared" si="40" ref="N75:N80">PI()*(($F75)^4-($H75)^4)/64</f>
        <v>0.03703632618385929</v>
      </c>
      <c r="O75" s="81">
        <f aca="true" t="shared" si="41" ref="O75:O80">PI()*(($F75)^4-($H75)^4)/(32*($F75))</f>
        <v>0.07054538320735103</v>
      </c>
      <c r="P75" s="81">
        <f t="shared" si="8"/>
        <v>0.3336798615439655</v>
      </c>
    </row>
    <row r="76" spans="2:16" ht="11.25">
      <c r="B76" s="15">
        <v>6</v>
      </c>
      <c r="C76" s="23">
        <f t="shared" si="36"/>
        <v>506</v>
      </c>
      <c r="D76" s="24">
        <v>0.75</v>
      </c>
      <c r="E76" s="25">
        <v>80</v>
      </c>
      <c r="F76" s="29">
        <v>1.05</v>
      </c>
      <c r="G76" s="29">
        <v>0.154</v>
      </c>
      <c r="H76" s="27">
        <f t="shared" si="37"/>
        <v>0.742</v>
      </c>
      <c r="I76" s="27">
        <f t="shared" si="38"/>
        <v>0.43348952071293406</v>
      </c>
      <c r="J76" s="26">
        <f t="shared" si="39"/>
        <v>0.43241195443275265</v>
      </c>
      <c r="K76" s="28">
        <f t="shared" si="9"/>
        <v>1.4736112125438794</v>
      </c>
      <c r="L76" s="60">
        <f t="shared" si="34"/>
        <v>0.18749456435398076</v>
      </c>
      <c r="M76" s="106">
        <f t="shared" si="35"/>
        <v>1.66110577689786</v>
      </c>
      <c r="N76" s="81">
        <f t="shared" si="40"/>
        <v>0.04478662006673785</v>
      </c>
      <c r="O76" s="81">
        <f t="shared" si="41"/>
        <v>0.08530784774616733</v>
      </c>
      <c r="P76" s="81">
        <f t="shared" si="8"/>
        <v>0.321428841269728</v>
      </c>
    </row>
    <row r="77" spans="2:16" ht="11.25">
      <c r="B77" s="15">
        <v>7</v>
      </c>
      <c r="C77" s="23">
        <f t="shared" si="36"/>
        <v>507</v>
      </c>
      <c r="D77" s="24">
        <v>0.75</v>
      </c>
      <c r="E77" s="25" t="s">
        <v>13</v>
      </c>
      <c r="F77" s="29">
        <v>1.05</v>
      </c>
      <c r="G77" s="29">
        <v>0.154</v>
      </c>
      <c r="H77" s="27">
        <f t="shared" si="37"/>
        <v>0.742</v>
      </c>
      <c r="I77" s="27">
        <f t="shared" si="38"/>
        <v>0.43348952071293406</v>
      </c>
      <c r="J77" s="26">
        <f t="shared" si="39"/>
        <v>0.43241195443275265</v>
      </c>
      <c r="K77" s="28">
        <f t="shared" si="9"/>
        <v>1.4736112125438794</v>
      </c>
      <c r="L77" s="60">
        <f t="shared" si="34"/>
        <v>0.18749456435398076</v>
      </c>
      <c r="M77" s="106">
        <f t="shared" si="35"/>
        <v>1.66110577689786</v>
      </c>
      <c r="N77" s="81">
        <f t="shared" si="40"/>
        <v>0.04478662006673785</v>
      </c>
      <c r="O77" s="81">
        <f t="shared" si="41"/>
        <v>0.08530784774616733</v>
      </c>
      <c r="P77" s="81">
        <f t="shared" si="8"/>
        <v>0.321428841269728</v>
      </c>
    </row>
    <row r="78" spans="2:16" ht="11.25">
      <c r="B78" s="15">
        <v>8</v>
      </c>
      <c r="C78" s="23">
        <f t="shared" si="36"/>
        <v>508</v>
      </c>
      <c r="D78" s="24">
        <v>0.75</v>
      </c>
      <c r="E78" s="25" t="s">
        <v>1</v>
      </c>
      <c r="F78" s="29">
        <v>1.05</v>
      </c>
      <c r="G78" s="29">
        <v>0.154</v>
      </c>
      <c r="H78" s="27">
        <f t="shared" si="37"/>
        <v>0.742</v>
      </c>
      <c r="I78" s="27">
        <f t="shared" si="38"/>
        <v>0.43348952071293406</v>
      </c>
      <c r="J78" s="26">
        <f t="shared" si="39"/>
        <v>0.43241195443275265</v>
      </c>
      <c r="K78" s="28">
        <f t="shared" si="9"/>
        <v>1.4736112125438794</v>
      </c>
      <c r="L78" s="60">
        <f t="shared" si="34"/>
        <v>0.18749456435398076</v>
      </c>
      <c r="M78" s="106">
        <f t="shared" si="35"/>
        <v>1.66110577689786</v>
      </c>
      <c r="N78" s="81">
        <f t="shared" si="40"/>
        <v>0.04478662006673785</v>
      </c>
      <c r="O78" s="81">
        <f t="shared" si="41"/>
        <v>0.08530784774616733</v>
      </c>
      <c r="P78" s="81">
        <f t="shared" si="8"/>
        <v>0.321428841269728</v>
      </c>
    </row>
    <row r="79" spans="2:16" ht="11.25">
      <c r="B79" s="15">
        <v>9</v>
      </c>
      <c r="C79" s="23">
        <f t="shared" si="36"/>
        <v>509</v>
      </c>
      <c r="D79" s="24">
        <v>0.75</v>
      </c>
      <c r="E79" s="25">
        <v>160</v>
      </c>
      <c r="F79" s="29">
        <v>1.05</v>
      </c>
      <c r="G79" s="29">
        <v>0.218</v>
      </c>
      <c r="H79" s="27">
        <f t="shared" si="37"/>
        <v>0.6140000000000001</v>
      </c>
      <c r="I79" s="27">
        <f t="shared" si="38"/>
        <v>0.5698095091375023</v>
      </c>
      <c r="J79" s="26">
        <f t="shared" si="39"/>
        <v>0.2960919660081845</v>
      </c>
      <c r="K79" s="28">
        <f t="shared" si="9"/>
        <v>1.9370195623141715</v>
      </c>
      <c r="L79" s="60">
        <f t="shared" si="34"/>
        <v>0.12838598379696703</v>
      </c>
      <c r="M79" s="106">
        <f t="shared" si="35"/>
        <v>2.0654055461111387</v>
      </c>
      <c r="N79" s="81">
        <f t="shared" si="40"/>
        <v>0.05268943059568113</v>
      </c>
      <c r="O79" s="81">
        <f t="shared" si="41"/>
        <v>0.10036082018224977</v>
      </c>
      <c r="P79" s="81">
        <f t="shared" si="8"/>
        <v>0.304086336424378</v>
      </c>
    </row>
    <row r="80" spans="2:16" ht="11.25">
      <c r="B80" s="15">
        <v>10</v>
      </c>
      <c r="C80" s="23">
        <f t="shared" si="36"/>
        <v>510</v>
      </c>
      <c r="D80" s="24">
        <v>0.75</v>
      </c>
      <c r="E80" s="25" t="s">
        <v>2</v>
      </c>
      <c r="F80" s="29">
        <v>1.05</v>
      </c>
      <c r="G80" s="29">
        <v>0.308</v>
      </c>
      <c r="H80" s="27">
        <f t="shared" si="37"/>
        <v>0.43400000000000005</v>
      </c>
      <c r="I80" s="27">
        <f t="shared" si="38"/>
        <v>0.7179670186807969</v>
      </c>
      <c r="J80" s="26">
        <f t="shared" si="39"/>
        <v>0.1479344564648898</v>
      </c>
      <c r="K80" s="28">
        <f t="shared" si="9"/>
        <v>2.4406685707758</v>
      </c>
      <c r="L80" s="60">
        <f t="shared" si="34"/>
        <v>0.0641446337999913</v>
      </c>
      <c r="M80" s="106">
        <f t="shared" si="35"/>
        <v>2.5048132045757914</v>
      </c>
      <c r="N80" s="81">
        <f t="shared" si="40"/>
        <v>0.057924502116638674</v>
      </c>
      <c r="O80" s="81">
        <f t="shared" si="41"/>
        <v>0.11033238498407366</v>
      </c>
      <c r="P80" s="81">
        <f t="shared" si="8"/>
        <v>0.28403960991382876</v>
      </c>
    </row>
    <row r="81" spans="2:16" ht="11.25" hidden="1">
      <c r="B81" s="15">
        <v>11</v>
      </c>
      <c r="C81" s="23">
        <f t="shared" si="36"/>
        <v>511</v>
      </c>
      <c r="D81" s="24"/>
      <c r="E81" s="25"/>
      <c r="F81" s="29"/>
      <c r="G81" s="29"/>
      <c r="H81" s="27"/>
      <c r="I81" s="27"/>
      <c r="J81" s="26"/>
      <c r="K81" s="28"/>
      <c r="L81" s="79"/>
      <c r="M81" s="60"/>
      <c r="N81" s="81"/>
      <c r="O81" s="81"/>
      <c r="P81" s="81"/>
    </row>
    <row r="82" spans="2:16" ht="11.25" hidden="1">
      <c r="B82" s="15">
        <v>12</v>
      </c>
      <c r="C82" s="23">
        <f t="shared" si="36"/>
        <v>512</v>
      </c>
      <c r="D82" s="24"/>
      <c r="E82" s="25"/>
      <c r="F82" s="29"/>
      <c r="G82" s="29"/>
      <c r="H82" s="27"/>
      <c r="I82" s="27"/>
      <c r="J82" s="26"/>
      <c r="K82" s="28"/>
      <c r="L82" s="79"/>
      <c r="M82" s="60"/>
      <c r="N82" s="81"/>
      <c r="O82" s="81"/>
      <c r="P82" s="81"/>
    </row>
    <row r="83" spans="2:16" ht="11.25" hidden="1">
      <c r="B83" s="15">
        <v>13</v>
      </c>
      <c r="C83" s="23">
        <f t="shared" si="36"/>
        <v>513</v>
      </c>
      <c r="D83" s="24"/>
      <c r="E83" s="25"/>
      <c r="F83" s="29"/>
      <c r="G83" s="29"/>
      <c r="H83" s="27"/>
      <c r="I83" s="27"/>
      <c r="J83" s="26"/>
      <c r="K83" s="28"/>
      <c r="L83" s="79"/>
      <c r="M83" s="60"/>
      <c r="N83" s="81"/>
      <c r="O83" s="81"/>
      <c r="P83" s="81"/>
    </row>
    <row r="84" spans="2:16" ht="11.25" hidden="1">
      <c r="B84" s="15">
        <v>14</v>
      </c>
      <c r="C84" s="23">
        <f t="shared" si="36"/>
        <v>514</v>
      </c>
      <c r="D84" s="24"/>
      <c r="E84" s="25"/>
      <c r="F84" s="29"/>
      <c r="G84" s="29"/>
      <c r="H84" s="27"/>
      <c r="I84" s="27"/>
      <c r="J84" s="26"/>
      <c r="K84" s="28"/>
      <c r="L84" s="79"/>
      <c r="M84" s="60"/>
      <c r="N84" s="81"/>
      <c r="O84" s="81"/>
      <c r="P84" s="81"/>
    </row>
    <row r="85" spans="2:16" ht="11.25" hidden="1">
      <c r="B85" s="15">
        <v>15</v>
      </c>
      <c r="C85" s="23">
        <f t="shared" si="36"/>
        <v>515</v>
      </c>
      <c r="D85" s="24"/>
      <c r="E85" s="25"/>
      <c r="F85" s="29"/>
      <c r="G85" s="29"/>
      <c r="H85" s="27"/>
      <c r="I85" s="27"/>
      <c r="J85" s="26"/>
      <c r="K85" s="28"/>
      <c r="L85" s="79"/>
      <c r="M85" s="60"/>
      <c r="N85" s="81"/>
      <c r="O85" s="81"/>
      <c r="P85" s="81"/>
    </row>
    <row r="86" spans="2:16" ht="11.25" hidden="1">
      <c r="B86" s="15">
        <v>16</v>
      </c>
      <c r="C86" s="23">
        <f t="shared" si="36"/>
        <v>516</v>
      </c>
      <c r="D86" s="24"/>
      <c r="E86" s="25"/>
      <c r="F86" s="29"/>
      <c r="G86" s="29"/>
      <c r="H86" s="27"/>
      <c r="I86" s="27"/>
      <c r="J86" s="26"/>
      <c r="K86" s="28"/>
      <c r="L86" s="79"/>
      <c r="M86" s="60"/>
      <c r="N86" s="81"/>
      <c r="O86" s="81"/>
      <c r="P86" s="81"/>
    </row>
    <row r="87" spans="1:16" ht="11.25">
      <c r="A87" s="23">
        <v>6</v>
      </c>
      <c r="B87" s="15">
        <v>1</v>
      </c>
      <c r="C87" s="23">
        <f>$A$87*100+B87</f>
        <v>601</v>
      </c>
      <c r="D87" s="24">
        <v>1</v>
      </c>
      <c r="E87" s="25" t="s">
        <v>10</v>
      </c>
      <c r="F87" s="29">
        <v>1.315</v>
      </c>
      <c r="G87" s="29">
        <v>0.065</v>
      </c>
      <c r="H87" s="27">
        <f aca="true" t="shared" si="42" ref="H87:H96">F87-2*G87</f>
        <v>1.185</v>
      </c>
      <c r="I87" s="27">
        <f aca="true" t="shared" si="43" ref="I87:I96">PI()*(F87^2-H87^2)/4</f>
        <v>0.25525440310417047</v>
      </c>
      <c r="J87" s="26">
        <f aca="true" t="shared" si="44" ref="J87:J96">PI()*H87^2/4</f>
        <v>1.1028757359967818</v>
      </c>
      <c r="K87" s="28">
        <f t="shared" si="9"/>
        <v>0.8677159019827667</v>
      </c>
      <c r="L87" s="60">
        <f aca="true" t="shared" si="45" ref="L87:L96">$J87*0.254^3*2.205*12</f>
        <v>0.4782088088396057</v>
      </c>
      <c r="M87" s="106">
        <f aca="true" t="shared" si="46" ref="M87:M96">K87+L87</f>
        <v>1.3459247108223724</v>
      </c>
      <c r="N87" s="81">
        <f>PI()*(($F87)^4-($H87)^4)/64</f>
        <v>0.04998918183792268</v>
      </c>
      <c r="O87" s="81">
        <f>PI()*(($F87)^4-($H87)^4)/(32*($F87))</f>
        <v>0.07602917389798126</v>
      </c>
      <c r="P87" s="81">
        <f t="shared" si="8"/>
        <v>0.4425388401033292</v>
      </c>
    </row>
    <row r="88" spans="2:16" ht="11.25">
      <c r="B88" s="15">
        <v>2</v>
      </c>
      <c r="C88" s="23">
        <f aca="true" t="shared" si="47" ref="C88:C102">$A$87*100+B88</f>
        <v>602</v>
      </c>
      <c r="D88" s="24">
        <v>1</v>
      </c>
      <c r="E88" s="25" t="s">
        <v>11</v>
      </c>
      <c r="F88" s="29">
        <v>1.315</v>
      </c>
      <c r="G88" s="29">
        <v>0.109</v>
      </c>
      <c r="H88" s="27">
        <f t="shared" si="42"/>
        <v>1.097</v>
      </c>
      <c r="I88" s="27">
        <f t="shared" si="43"/>
        <v>0.41297492068499253</v>
      </c>
      <c r="J88" s="26">
        <f t="shared" si="44"/>
        <v>0.9451552184159598</v>
      </c>
      <c r="K88" s="28">
        <f t="shared" si="9"/>
        <v>1.4038735529752946</v>
      </c>
      <c r="L88" s="60">
        <f t="shared" si="45"/>
        <v>0.4098209221719176</v>
      </c>
      <c r="M88" s="106">
        <f t="shared" si="46"/>
        <v>1.8136944751472122</v>
      </c>
      <c r="N88" s="81">
        <f>PI()*(($F88)^4-($H88)^4)/64</f>
        <v>0.07569401834675701</v>
      </c>
      <c r="O88" s="81">
        <f>PI()*(($F88)^4-($H88)^4)/(32*($F88))</f>
        <v>0.11512398227643653</v>
      </c>
      <c r="P88" s="81">
        <f t="shared" si="8"/>
        <v>0.42812337590932825</v>
      </c>
    </row>
    <row r="89" spans="2:16" ht="11.25">
      <c r="B89" s="15">
        <v>3</v>
      </c>
      <c r="C89" s="23">
        <f t="shared" si="47"/>
        <v>603</v>
      </c>
      <c r="D89" s="24">
        <v>1</v>
      </c>
      <c r="E89" s="25">
        <v>40</v>
      </c>
      <c r="F89" s="29">
        <v>1.315</v>
      </c>
      <c r="G89" s="29">
        <v>0.133</v>
      </c>
      <c r="H89" s="27">
        <f t="shared" si="42"/>
        <v>1.049</v>
      </c>
      <c r="I89" s="27">
        <f t="shared" si="43"/>
        <v>0.4938772147002369</v>
      </c>
      <c r="J89" s="26">
        <f t="shared" si="44"/>
        <v>0.8642529244007154</v>
      </c>
      <c r="K89" s="28">
        <f t="shared" si="9"/>
        <v>1.6788941056874205</v>
      </c>
      <c r="L89" s="60">
        <f t="shared" si="45"/>
        <v>0.374741548865681</v>
      </c>
      <c r="M89" s="106">
        <f t="shared" si="46"/>
        <v>2.0536356545531014</v>
      </c>
      <c r="N89" s="81">
        <f>PI()*(($F89)^4-($H89)^4)/64</f>
        <v>0.08734298797021077</v>
      </c>
      <c r="O89" s="81">
        <f>PI()*(($F89)^4-($H89)^4)/(32*($F89))</f>
        <v>0.1328410463425259</v>
      </c>
      <c r="P89" s="81">
        <f t="shared" si="8"/>
        <v>0.420537305122863</v>
      </c>
    </row>
    <row r="90" spans="2:16" ht="11.25">
      <c r="B90" s="15">
        <v>4</v>
      </c>
      <c r="C90" s="23">
        <f t="shared" si="47"/>
        <v>604</v>
      </c>
      <c r="D90" s="24">
        <v>1</v>
      </c>
      <c r="E90" s="25" t="s">
        <v>12</v>
      </c>
      <c r="F90" s="29">
        <v>1.315</v>
      </c>
      <c r="G90" s="29">
        <v>0.133</v>
      </c>
      <c r="H90" s="27">
        <f t="shared" si="42"/>
        <v>1.049</v>
      </c>
      <c r="I90" s="27">
        <f t="shared" si="43"/>
        <v>0.4938772147002369</v>
      </c>
      <c r="J90" s="26">
        <f t="shared" si="44"/>
        <v>0.8642529244007154</v>
      </c>
      <c r="K90" s="28">
        <f t="shared" si="9"/>
        <v>1.6788941056874205</v>
      </c>
      <c r="L90" s="60">
        <f t="shared" si="45"/>
        <v>0.374741548865681</v>
      </c>
      <c r="M90" s="106">
        <f t="shared" si="46"/>
        <v>2.0536356545531014</v>
      </c>
      <c r="N90" s="81">
        <f>PI()*(($F90)^4-($H90)^4)/64</f>
        <v>0.08734298797021077</v>
      </c>
      <c r="O90" s="81">
        <f>PI()*(($F90)^4-($H90)^4)/(32*($F90))</f>
        <v>0.1328410463425259</v>
      </c>
      <c r="P90" s="81">
        <f t="shared" si="8"/>
        <v>0.420537305122863</v>
      </c>
    </row>
    <row r="91" spans="2:16" ht="11.25">
      <c r="B91" s="15">
        <v>5</v>
      </c>
      <c r="C91" s="23">
        <f t="shared" si="47"/>
        <v>605</v>
      </c>
      <c r="D91" s="24">
        <v>1</v>
      </c>
      <c r="E91" s="25" t="s">
        <v>0</v>
      </c>
      <c r="F91" s="29">
        <v>1.315</v>
      </c>
      <c r="G91" s="29">
        <v>0.133</v>
      </c>
      <c r="H91" s="27">
        <f t="shared" si="42"/>
        <v>1.049</v>
      </c>
      <c r="I91" s="27">
        <f t="shared" si="43"/>
        <v>0.4938772147002369</v>
      </c>
      <c r="J91" s="26">
        <f t="shared" si="44"/>
        <v>0.8642529244007154</v>
      </c>
      <c r="K91" s="28">
        <f t="shared" si="9"/>
        <v>1.6788941056874205</v>
      </c>
      <c r="L91" s="60">
        <f t="shared" si="45"/>
        <v>0.374741548865681</v>
      </c>
      <c r="M91" s="106">
        <f t="shared" si="46"/>
        <v>2.0536356545531014</v>
      </c>
      <c r="N91" s="81">
        <f aca="true" t="shared" si="48" ref="N91:N96">PI()*(($F91)^4-($H91)^4)/64</f>
        <v>0.08734298797021077</v>
      </c>
      <c r="O91" s="81">
        <f aca="true" t="shared" si="49" ref="O91:O96">PI()*(($F91)^4-($H91)^4)/(32*($F91))</f>
        <v>0.1328410463425259</v>
      </c>
      <c r="P91" s="81">
        <f t="shared" si="8"/>
        <v>0.420537305122863</v>
      </c>
    </row>
    <row r="92" spans="2:16" ht="11.25">
      <c r="B92" s="15">
        <v>6</v>
      </c>
      <c r="C92" s="23">
        <f t="shared" si="47"/>
        <v>606</v>
      </c>
      <c r="D92" s="24">
        <v>1</v>
      </c>
      <c r="E92" s="25">
        <v>80</v>
      </c>
      <c r="F92" s="29">
        <v>1.315</v>
      </c>
      <c r="G92" s="29">
        <v>0.179</v>
      </c>
      <c r="H92" s="27">
        <f t="shared" si="42"/>
        <v>0.957</v>
      </c>
      <c r="I92" s="27">
        <f t="shared" si="43"/>
        <v>0.6388240165515628</v>
      </c>
      <c r="J92" s="26">
        <f t="shared" si="44"/>
        <v>0.7193061225493895</v>
      </c>
      <c r="K92" s="28">
        <f t="shared" si="9"/>
        <v>2.1716285830496473</v>
      </c>
      <c r="L92" s="60">
        <f t="shared" si="45"/>
        <v>0.3118923672252979</v>
      </c>
      <c r="M92" s="106">
        <f t="shared" si="46"/>
        <v>2.4835209502749453</v>
      </c>
      <c r="N92" s="81">
        <f t="shared" si="48"/>
        <v>0.10560854979725677</v>
      </c>
      <c r="O92" s="81">
        <f t="shared" si="49"/>
        <v>0.16062136851293807</v>
      </c>
      <c r="P92" s="81">
        <f t="shared" si="8"/>
        <v>0.406592086740507</v>
      </c>
    </row>
    <row r="93" spans="2:16" ht="11.25">
      <c r="B93" s="15">
        <v>7</v>
      </c>
      <c r="C93" s="23">
        <f t="shared" si="47"/>
        <v>607</v>
      </c>
      <c r="D93" s="24">
        <v>1</v>
      </c>
      <c r="E93" s="25" t="s">
        <v>13</v>
      </c>
      <c r="F93" s="29">
        <v>1.315</v>
      </c>
      <c r="G93" s="29">
        <v>0.179</v>
      </c>
      <c r="H93" s="27">
        <f t="shared" si="42"/>
        <v>0.957</v>
      </c>
      <c r="I93" s="27">
        <f t="shared" si="43"/>
        <v>0.6388240165515628</v>
      </c>
      <c r="J93" s="26">
        <f t="shared" si="44"/>
        <v>0.7193061225493895</v>
      </c>
      <c r="K93" s="28">
        <f t="shared" si="9"/>
        <v>2.1716285830496473</v>
      </c>
      <c r="L93" s="60">
        <f t="shared" si="45"/>
        <v>0.3118923672252979</v>
      </c>
      <c r="M93" s="106">
        <f t="shared" si="46"/>
        <v>2.4835209502749453</v>
      </c>
      <c r="N93" s="81">
        <f t="shared" si="48"/>
        <v>0.10560854979725677</v>
      </c>
      <c r="O93" s="81">
        <f t="shared" si="49"/>
        <v>0.16062136851293807</v>
      </c>
      <c r="P93" s="81">
        <f t="shared" si="8"/>
        <v>0.406592086740507</v>
      </c>
    </row>
    <row r="94" spans="2:16" ht="11.25">
      <c r="B94" s="15">
        <v>8</v>
      </c>
      <c r="C94" s="23">
        <f t="shared" si="47"/>
        <v>608</v>
      </c>
      <c r="D94" s="24">
        <v>1</v>
      </c>
      <c r="E94" s="25" t="s">
        <v>1</v>
      </c>
      <c r="F94" s="29">
        <v>1.315</v>
      </c>
      <c r="G94" s="29">
        <v>0.179</v>
      </c>
      <c r="H94" s="27">
        <f t="shared" si="42"/>
        <v>0.957</v>
      </c>
      <c r="I94" s="27">
        <f t="shared" si="43"/>
        <v>0.6388240165515628</v>
      </c>
      <c r="J94" s="26">
        <f t="shared" si="44"/>
        <v>0.7193061225493895</v>
      </c>
      <c r="K94" s="28">
        <f t="shared" si="9"/>
        <v>2.1716285830496473</v>
      </c>
      <c r="L94" s="60">
        <f t="shared" si="45"/>
        <v>0.3118923672252979</v>
      </c>
      <c r="M94" s="106">
        <f t="shared" si="46"/>
        <v>2.4835209502749453</v>
      </c>
      <c r="N94" s="81">
        <f t="shared" si="48"/>
        <v>0.10560854979725677</v>
      </c>
      <c r="O94" s="81">
        <f t="shared" si="49"/>
        <v>0.16062136851293807</v>
      </c>
      <c r="P94" s="81">
        <f t="shared" si="8"/>
        <v>0.406592086740507</v>
      </c>
    </row>
    <row r="95" spans="2:16" ht="11.25">
      <c r="B95" s="15">
        <v>9</v>
      </c>
      <c r="C95" s="23">
        <f t="shared" si="47"/>
        <v>609</v>
      </c>
      <c r="D95" s="24">
        <v>1</v>
      </c>
      <c r="E95" s="25">
        <v>160</v>
      </c>
      <c r="F95" s="29">
        <v>1.315</v>
      </c>
      <c r="G95" s="29">
        <v>0.25</v>
      </c>
      <c r="H95" s="27">
        <f t="shared" si="42"/>
        <v>0.815</v>
      </c>
      <c r="I95" s="27">
        <f t="shared" si="43"/>
        <v>0.8364490440182824</v>
      </c>
      <c r="J95" s="26">
        <f t="shared" si="44"/>
        <v>0.52168109508267</v>
      </c>
      <c r="K95" s="28">
        <f t="shared" si="9"/>
        <v>2.8434382634204534</v>
      </c>
      <c r="L95" s="60">
        <f t="shared" si="45"/>
        <v>0.22620181669710127</v>
      </c>
      <c r="M95" s="106">
        <f t="shared" si="46"/>
        <v>3.0696400801175545</v>
      </c>
      <c r="N95" s="81">
        <f t="shared" si="48"/>
        <v>0.12512493527534732</v>
      </c>
      <c r="O95" s="81">
        <f t="shared" si="49"/>
        <v>0.19030408406896931</v>
      </c>
      <c r="P95" s="81">
        <f t="shared" si="8"/>
        <v>0.3867694726836646</v>
      </c>
    </row>
    <row r="96" spans="2:16" ht="11.25">
      <c r="B96" s="15">
        <v>10</v>
      </c>
      <c r="C96" s="23">
        <f t="shared" si="47"/>
        <v>610</v>
      </c>
      <c r="D96" s="24">
        <v>1</v>
      </c>
      <c r="E96" s="25" t="s">
        <v>2</v>
      </c>
      <c r="F96" s="29">
        <v>1.315</v>
      </c>
      <c r="G96" s="29">
        <v>0.358</v>
      </c>
      <c r="H96" s="27">
        <f t="shared" si="42"/>
        <v>0.599</v>
      </c>
      <c r="I96" s="27">
        <f t="shared" si="43"/>
        <v>1.0763284926757846</v>
      </c>
      <c r="J96" s="26">
        <f t="shared" si="44"/>
        <v>0.2818016464251678</v>
      </c>
      <c r="K96" s="28">
        <f t="shared" si="9"/>
        <v>3.658888299257945</v>
      </c>
      <c r="L96" s="60">
        <f t="shared" si="45"/>
        <v>0.12218967674016581</v>
      </c>
      <c r="M96" s="106">
        <f t="shared" si="46"/>
        <v>3.7810779759981106</v>
      </c>
      <c r="N96" s="81">
        <f t="shared" si="48"/>
        <v>0.14046261732799045</v>
      </c>
      <c r="O96" s="81">
        <f t="shared" si="49"/>
        <v>0.2136313571528372</v>
      </c>
      <c r="P96" s="81">
        <f t="shared" si="8"/>
        <v>0.3612500865051799</v>
      </c>
    </row>
    <row r="97" spans="2:16" ht="11.25" hidden="1">
      <c r="B97" s="15">
        <v>11</v>
      </c>
      <c r="C97" s="23">
        <f t="shared" si="47"/>
        <v>611</v>
      </c>
      <c r="D97" s="24"/>
      <c r="E97" s="25"/>
      <c r="F97" s="29"/>
      <c r="G97" s="29"/>
      <c r="H97" s="27"/>
      <c r="I97" s="27"/>
      <c r="J97" s="26"/>
      <c r="K97" s="28"/>
      <c r="L97" s="79"/>
      <c r="M97" s="60"/>
      <c r="N97" s="81"/>
      <c r="O97" s="81"/>
      <c r="P97" s="81"/>
    </row>
    <row r="98" spans="2:16" ht="11.25" hidden="1">
      <c r="B98" s="15">
        <v>12</v>
      </c>
      <c r="C98" s="23">
        <f t="shared" si="47"/>
        <v>612</v>
      </c>
      <c r="D98" s="24"/>
      <c r="E98" s="25"/>
      <c r="F98" s="29"/>
      <c r="G98" s="29"/>
      <c r="H98" s="27"/>
      <c r="I98" s="27"/>
      <c r="J98" s="26"/>
      <c r="K98" s="28"/>
      <c r="L98" s="79"/>
      <c r="M98" s="60"/>
      <c r="N98" s="81"/>
      <c r="O98" s="81"/>
      <c r="P98" s="81"/>
    </row>
    <row r="99" spans="2:16" ht="11.25" hidden="1">
      <c r="B99" s="15">
        <v>13</v>
      </c>
      <c r="C99" s="23">
        <f t="shared" si="47"/>
        <v>613</v>
      </c>
      <c r="D99" s="24"/>
      <c r="E99" s="25"/>
      <c r="F99" s="29"/>
      <c r="G99" s="29"/>
      <c r="H99" s="27"/>
      <c r="I99" s="27"/>
      <c r="J99" s="26"/>
      <c r="K99" s="28"/>
      <c r="L99" s="79"/>
      <c r="M99" s="60"/>
      <c r="N99" s="81"/>
      <c r="O99" s="81"/>
      <c r="P99" s="81"/>
    </row>
    <row r="100" spans="2:16" ht="11.25" hidden="1">
      <c r="B100" s="15">
        <v>14</v>
      </c>
      <c r="C100" s="23">
        <f t="shared" si="47"/>
        <v>614</v>
      </c>
      <c r="D100" s="24"/>
      <c r="E100" s="25"/>
      <c r="F100" s="29"/>
      <c r="G100" s="29"/>
      <c r="H100" s="27"/>
      <c r="I100" s="27"/>
      <c r="J100" s="26"/>
      <c r="K100" s="28"/>
      <c r="L100" s="79"/>
      <c r="M100" s="60"/>
      <c r="N100" s="81"/>
      <c r="O100" s="81"/>
      <c r="P100" s="81"/>
    </row>
    <row r="101" spans="2:16" ht="11.25" hidden="1">
      <c r="B101" s="15">
        <v>15</v>
      </c>
      <c r="C101" s="23">
        <f t="shared" si="47"/>
        <v>615</v>
      </c>
      <c r="D101" s="24"/>
      <c r="E101" s="25"/>
      <c r="F101" s="29"/>
      <c r="G101" s="29"/>
      <c r="H101" s="27"/>
      <c r="I101" s="27"/>
      <c r="J101" s="26"/>
      <c r="K101" s="28"/>
      <c r="L101" s="79"/>
      <c r="M101" s="60"/>
      <c r="N101" s="81"/>
      <c r="O101" s="81"/>
      <c r="P101" s="81"/>
    </row>
    <row r="102" spans="2:16" ht="11.25" hidden="1">
      <c r="B102" s="15">
        <v>16</v>
      </c>
      <c r="C102" s="23">
        <f t="shared" si="47"/>
        <v>616</v>
      </c>
      <c r="D102" s="24"/>
      <c r="E102" s="25"/>
      <c r="F102" s="29"/>
      <c r="G102" s="29"/>
      <c r="H102" s="27"/>
      <c r="I102" s="27"/>
      <c r="J102" s="26"/>
      <c r="K102" s="28"/>
      <c r="L102" s="79"/>
      <c r="M102" s="60"/>
      <c r="N102" s="81"/>
      <c r="O102" s="81"/>
      <c r="P102" s="81"/>
    </row>
    <row r="103" spans="1:16" ht="11.25">
      <c r="A103" s="23">
        <v>7</v>
      </c>
      <c r="B103" s="15">
        <v>1</v>
      </c>
      <c r="C103" s="23">
        <f>$A$103*100+B103</f>
        <v>701</v>
      </c>
      <c r="D103" s="24">
        <v>1.25</v>
      </c>
      <c r="E103" s="25" t="s">
        <v>10</v>
      </c>
      <c r="F103" s="29">
        <v>1.66</v>
      </c>
      <c r="G103" s="29">
        <v>0.065</v>
      </c>
      <c r="H103" s="27">
        <f aca="true" t="shared" si="50" ref="H103:H112">F103-2*G103</f>
        <v>1.5299999999999998</v>
      </c>
      <c r="I103" s="27">
        <f aca="true" t="shared" si="51" ref="I103:I112">PI()*(F103^2-H103^2)/4</f>
        <v>0.325704618360922</v>
      </c>
      <c r="J103" s="26">
        <f aca="true" t="shared" si="52" ref="J103:J112">PI()*H103^2/4</f>
        <v>1.8385385606970863</v>
      </c>
      <c r="K103" s="28">
        <f t="shared" si="9"/>
        <v>1.107205490930012</v>
      </c>
      <c r="L103" s="60">
        <f aca="true" t="shared" si="53" ref="L103:L112">$J103*0.254^3*2.205*12</f>
        <v>0.7971934701437681</v>
      </c>
      <c r="M103" s="106">
        <f aca="true" t="shared" si="54" ref="M103:M112">K103+L103</f>
        <v>1.9043989610737801</v>
      </c>
      <c r="N103" s="81">
        <f>PI()*(($F103)^4-($H103)^4)/64</f>
        <v>0.10374709921727743</v>
      </c>
      <c r="O103" s="81">
        <f>PI()*(($F103)^4-($H103)^4)/(32*($F103))</f>
        <v>0.12499650508105714</v>
      </c>
      <c r="P103" s="81">
        <f t="shared" si="8"/>
        <v>0.5643857280264978</v>
      </c>
    </row>
    <row r="104" spans="2:16" ht="11.25">
      <c r="B104" s="15">
        <v>2</v>
      </c>
      <c r="C104" s="23">
        <f aca="true" t="shared" si="55" ref="C104:C118">$A$103*100+B104</f>
        <v>702</v>
      </c>
      <c r="D104" s="24">
        <v>1.25</v>
      </c>
      <c r="E104" s="25" t="s">
        <v>11</v>
      </c>
      <c r="F104" s="29">
        <v>1.66</v>
      </c>
      <c r="G104" s="29">
        <v>0.109</v>
      </c>
      <c r="H104" s="27">
        <f t="shared" si="50"/>
        <v>1.442</v>
      </c>
      <c r="I104" s="27">
        <f t="shared" si="51"/>
        <v>0.5311145124232367</v>
      </c>
      <c r="J104" s="26">
        <f t="shared" si="52"/>
        <v>1.6331286666347717</v>
      </c>
      <c r="K104" s="28">
        <f t="shared" si="9"/>
        <v>1.8054791713637497</v>
      </c>
      <c r="L104" s="60">
        <f t="shared" si="53"/>
        <v>0.7081273881208197</v>
      </c>
      <c r="M104" s="106">
        <f t="shared" si="54"/>
        <v>2.513606559484569</v>
      </c>
      <c r="N104" s="81">
        <f>PI()*(($F104)^4-($H104)^4)/64</f>
        <v>0.16049497171524388</v>
      </c>
      <c r="O104" s="81">
        <f>PI()*(($F104)^4-($H104)^4)/(32*($F104))</f>
        <v>0.19336743580149865</v>
      </c>
      <c r="P104" s="81">
        <f t="shared" si="8"/>
        <v>0.5497137891666899</v>
      </c>
    </row>
    <row r="105" spans="2:16" ht="11.25">
      <c r="B105" s="15">
        <v>3</v>
      </c>
      <c r="C105" s="23">
        <f t="shared" si="55"/>
        <v>703</v>
      </c>
      <c r="D105" s="24">
        <v>1.25</v>
      </c>
      <c r="E105" s="25">
        <v>40</v>
      </c>
      <c r="F105" s="29">
        <v>1.66</v>
      </c>
      <c r="G105" s="29">
        <v>0.14</v>
      </c>
      <c r="H105" s="27">
        <f t="shared" si="50"/>
        <v>1.38</v>
      </c>
      <c r="I105" s="27">
        <f t="shared" si="51"/>
        <v>0.6685309166839081</v>
      </c>
      <c r="J105" s="26">
        <f t="shared" si="52"/>
        <v>1.4957122623741002</v>
      </c>
      <c r="K105" s="28">
        <f t="shared" si="9"/>
        <v>2.272614694669944</v>
      </c>
      <c r="L105" s="60">
        <f t="shared" si="53"/>
        <v>0.6485433997786287</v>
      </c>
      <c r="M105" s="106">
        <f t="shared" si="54"/>
        <v>2.9211580944485727</v>
      </c>
      <c r="N105" s="81">
        <f>PI()*(($F105)^4-($H105)^4)/64</f>
        <v>0.19470962948418818</v>
      </c>
      <c r="O105" s="81">
        <f>PI()*(($F105)^4-($H105)^4)/(32*($F105))</f>
        <v>0.2345899150411906</v>
      </c>
      <c r="P105" s="81">
        <f t="shared" si="8"/>
        <v>0.5396758286230725</v>
      </c>
    </row>
    <row r="106" spans="2:16" ht="11.25">
      <c r="B106" s="15">
        <v>4</v>
      </c>
      <c r="C106" s="23">
        <f t="shared" si="55"/>
        <v>704</v>
      </c>
      <c r="D106" s="24">
        <v>1.25</v>
      </c>
      <c r="E106" s="25" t="s">
        <v>12</v>
      </c>
      <c r="F106" s="29">
        <v>1.66</v>
      </c>
      <c r="G106" s="29">
        <v>0.14</v>
      </c>
      <c r="H106" s="27">
        <f t="shared" si="50"/>
        <v>1.38</v>
      </c>
      <c r="I106" s="27">
        <f t="shared" si="51"/>
        <v>0.6685309166839081</v>
      </c>
      <c r="J106" s="26">
        <f t="shared" si="52"/>
        <v>1.4957122623741002</v>
      </c>
      <c r="K106" s="28">
        <f t="shared" si="9"/>
        <v>2.272614694669944</v>
      </c>
      <c r="L106" s="60">
        <f t="shared" si="53"/>
        <v>0.6485433997786287</v>
      </c>
      <c r="M106" s="106">
        <f t="shared" si="54"/>
        <v>2.9211580944485727</v>
      </c>
      <c r="N106" s="81">
        <f aca="true" t="shared" si="56" ref="N106:N112">PI()*(($F106)^4-($H106)^4)/64</f>
        <v>0.19470962948418818</v>
      </c>
      <c r="O106" s="81">
        <f aca="true" t="shared" si="57" ref="O106:O112">PI()*(($F106)^4-($H106)^4)/(32*($F106))</f>
        <v>0.2345899150411906</v>
      </c>
      <c r="P106" s="81">
        <f t="shared" si="8"/>
        <v>0.5396758286230725</v>
      </c>
    </row>
    <row r="107" spans="2:16" ht="11.25">
      <c r="B107" s="15">
        <v>5</v>
      </c>
      <c r="C107" s="23">
        <f t="shared" si="55"/>
        <v>705</v>
      </c>
      <c r="D107" s="24">
        <v>1.25</v>
      </c>
      <c r="E107" s="25" t="s">
        <v>0</v>
      </c>
      <c r="F107" s="29">
        <v>1.66</v>
      </c>
      <c r="G107" s="29">
        <v>0.14</v>
      </c>
      <c r="H107" s="27">
        <f t="shared" si="50"/>
        <v>1.38</v>
      </c>
      <c r="I107" s="27">
        <f t="shared" si="51"/>
        <v>0.6685309166839081</v>
      </c>
      <c r="J107" s="26">
        <f t="shared" si="52"/>
        <v>1.4957122623741002</v>
      </c>
      <c r="K107" s="28">
        <f t="shared" si="9"/>
        <v>2.272614694669944</v>
      </c>
      <c r="L107" s="60">
        <f t="shared" si="53"/>
        <v>0.6485433997786287</v>
      </c>
      <c r="M107" s="106">
        <f t="shared" si="54"/>
        <v>2.9211580944485727</v>
      </c>
      <c r="N107" s="81">
        <f t="shared" si="56"/>
        <v>0.19470962948418818</v>
      </c>
      <c r="O107" s="81">
        <f t="shared" si="57"/>
        <v>0.2345899150411906</v>
      </c>
      <c r="P107" s="81">
        <f t="shared" si="8"/>
        <v>0.5396758286230725</v>
      </c>
    </row>
    <row r="108" spans="2:16" ht="11.25">
      <c r="B108" s="15">
        <v>6</v>
      </c>
      <c r="C108" s="23">
        <f t="shared" si="55"/>
        <v>706</v>
      </c>
      <c r="D108" s="24">
        <v>1.25</v>
      </c>
      <c r="E108" s="25">
        <v>80</v>
      </c>
      <c r="F108" s="29">
        <v>1.66</v>
      </c>
      <c r="G108" s="29">
        <v>0.191</v>
      </c>
      <c r="H108" s="27">
        <f t="shared" si="50"/>
        <v>1.278</v>
      </c>
      <c r="I108" s="27">
        <f t="shared" si="51"/>
        <v>0.8814649251515705</v>
      </c>
      <c r="J108" s="26">
        <f t="shared" si="52"/>
        <v>1.2827782539064378</v>
      </c>
      <c r="K108" s="28">
        <f t="shared" si="9"/>
        <v>2.996465969999051</v>
      </c>
      <c r="L108" s="60">
        <f t="shared" si="53"/>
        <v>0.5562148488574028</v>
      </c>
      <c r="M108" s="106">
        <f t="shared" si="54"/>
        <v>3.552680818856454</v>
      </c>
      <c r="N108" s="81">
        <f t="shared" si="56"/>
        <v>0.24179045665993276</v>
      </c>
      <c r="O108" s="81">
        <f t="shared" si="57"/>
        <v>0.29131380320473826</v>
      </c>
      <c r="P108" s="81">
        <f t="shared" si="8"/>
        <v>0.5237415870446035</v>
      </c>
    </row>
    <row r="109" spans="2:16" ht="11.25">
      <c r="B109" s="15">
        <v>7</v>
      </c>
      <c r="C109" s="23">
        <f t="shared" si="55"/>
        <v>707</v>
      </c>
      <c r="D109" s="24">
        <v>1.25</v>
      </c>
      <c r="E109" s="25" t="s">
        <v>13</v>
      </c>
      <c r="F109" s="29">
        <v>1.66</v>
      </c>
      <c r="G109" s="29">
        <v>0.191</v>
      </c>
      <c r="H109" s="27">
        <f t="shared" si="50"/>
        <v>1.278</v>
      </c>
      <c r="I109" s="27">
        <f t="shared" si="51"/>
        <v>0.8814649251515705</v>
      </c>
      <c r="J109" s="26">
        <f t="shared" si="52"/>
        <v>1.2827782539064378</v>
      </c>
      <c r="K109" s="28">
        <f t="shared" si="9"/>
        <v>2.996465969999051</v>
      </c>
      <c r="L109" s="60">
        <f t="shared" si="53"/>
        <v>0.5562148488574028</v>
      </c>
      <c r="M109" s="106">
        <f t="shared" si="54"/>
        <v>3.552680818856454</v>
      </c>
      <c r="N109" s="81">
        <f t="shared" si="56"/>
        <v>0.24179045665993276</v>
      </c>
      <c r="O109" s="81">
        <f t="shared" si="57"/>
        <v>0.29131380320473826</v>
      </c>
      <c r="P109" s="81">
        <f t="shared" si="8"/>
        <v>0.5237415870446035</v>
      </c>
    </row>
    <row r="110" spans="2:16" ht="11.25">
      <c r="B110" s="15">
        <v>8</v>
      </c>
      <c r="C110" s="23">
        <f t="shared" si="55"/>
        <v>708</v>
      </c>
      <c r="D110" s="24">
        <v>1.25</v>
      </c>
      <c r="E110" s="25" t="s">
        <v>1</v>
      </c>
      <c r="F110" s="29">
        <v>1.66</v>
      </c>
      <c r="G110" s="29">
        <v>0.191</v>
      </c>
      <c r="H110" s="27">
        <f t="shared" si="50"/>
        <v>1.278</v>
      </c>
      <c r="I110" s="27">
        <f t="shared" si="51"/>
        <v>0.8814649251515705</v>
      </c>
      <c r="J110" s="26">
        <f t="shared" si="52"/>
        <v>1.2827782539064378</v>
      </c>
      <c r="K110" s="28">
        <f t="shared" si="9"/>
        <v>2.996465969999051</v>
      </c>
      <c r="L110" s="60">
        <f t="shared" si="53"/>
        <v>0.5562148488574028</v>
      </c>
      <c r="M110" s="106">
        <f t="shared" si="54"/>
        <v>3.552680818856454</v>
      </c>
      <c r="N110" s="81">
        <f t="shared" si="56"/>
        <v>0.24179045665993276</v>
      </c>
      <c r="O110" s="81">
        <f t="shared" si="57"/>
        <v>0.29131380320473826</v>
      </c>
      <c r="P110" s="81">
        <f t="shared" si="8"/>
        <v>0.5237415870446035</v>
      </c>
    </row>
    <row r="111" spans="2:16" ht="11.25">
      <c r="B111" s="15">
        <v>9</v>
      </c>
      <c r="C111" s="23">
        <f t="shared" si="55"/>
        <v>709</v>
      </c>
      <c r="D111" s="24">
        <v>1.25</v>
      </c>
      <c r="E111" s="25">
        <v>160</v>
      </c>
      <c r="F111" s="29">
        <v>1.66</v>
      </c>
      <c r="G111" s="29">
        <v>0.25</v>
      </c>
      <c r="H111" s="27">
        <f t="shared" si="50"/>
        <v>1.16</v>
      </c>
      <c r="I111" s="27">
        <f t="shared" si="51"/>
        <v>1.107411410390402</v>
      </c>
      <c r="J111" s="26">
        <f t="shared" si="52"/>
        <v>1.0568317686676063</v>
      </c>
      <c r="K111" s="28">
        <f t="shared" si="9"/>
        <v>3.7645520670636987</v>
      </c>
      <c r="L111" s="60">
        <f t="shared" si="53"/>
        <v>0.45824406571209975</v>
      </c>
      <c r="M111" s="106">
        <f t="shared" si="54"/>
        <v>4.222796132775798</v>
      </c>
      <c r="N111" s="81">
        <f t="shared" si="56"/>
        <v>0.2838572297683198</v>
      </c>
      <c r="O111" s="81">
        <f t="shared" si="57"/>
        <v>0.34199666237146964</v>
      </c>
      <c r="P111" s="81">
        <f t="shared" si="8"/>
        <v>0.5062854925829892</v>
      </c>
    </row>
    <row r="112" spans="2:16" ht="11.25">
      <c r="B112" s="15">
        <v>10</v>
      </c>
      <c r="C112" s="23">
        <f t="shared" si="55"/>
        <v>710</v>
      </c>
      <c r="D112" s="24">
        <v>1.25</v>
      </c>
      <c r="E112" s="25" t="s">
        <v>2</v>
      </c>
      <c r="F112" s="29">
        <v>1.66</v>
      </c>
      <c r="G112" s="29">
        <v>0.382</v>
      </c>
      <c r="H112" s="27">
        <f t="shared" si="50"/>
        <v>0.8959999999999999</v>
      </c>
      <c r="I112" s="27">
        <f t="shared" si="51"/>
        <v>1.5337129671119225</v>
      </c>
      <c r="J112" s="26">
        <f t="shared" si="52"/>
        <v>0.6305302119460857</v>
      </c>
      <c r="K112" s="28">
        <f t="shared" si="9"/>
        <v>5.213728399807743</v>
      </c>
      <c r="L112" s="60">
        <f t="shared" si="53"/>
        <v>0.27339898027550913</v>
      </c>
      <c r="M112" s="106">
        <f t="shared" si="54"/>
        <v>5.487127380083252</v>
      </c>
      <c r="N112" s="81">
        <f t="shared" si="56"/>
        <v>0.34109929759865865</v>
      </c>
      <c r="O112" s="81">
        <f t="shared" si="57"/>
        <v>0.41096300915501044</v>
      </c>
      <c r="P112" s="81">
        <f t="shared" si="8"/>
        <v>0.4715941051370341</v>
      </c>
    </row>
    <row r="113" spans="2:16" ht="11.25" hidden="1">
      <c r="B113" s="15">
        <v>11</v>
      </c>
      <c r="C113" s="23">
        <f t="shared" si="55"/>
        <v>711</v>
      </c>
      <c r="D113" s="24"/>
      <c r="E113" s="25"/>
      <c r="F113" s="29"/>
      <c r="G113" s="29"/>
      <c r="H113" s="27"/>
      <c r="I113" s="27"/>
      <c r="J113" s="26"/>
      <c r="K113" s="28"/>
      <c r="L113" s="79"/>
      <c r="M113" s="60"/>
      <c r="N113" s="81"/>
      <c r="O113" s="81"/>
      <c r="P113" s="81"/>
    </row>
    <row r="114" spans="2:16" ht="11.25" hidden="1">
      <c r="B114" s="15">
        <v>12</v>
      </c>
      <c r="C114" s="23">
        <f t="shared" si="55"/>
        <v>712</v>
      </c>
      <c r="D114" s="24"/>
      <c r="E114" s="25"/>
      <c r="F114" s="29"/>
      <c r="G114" s="29"/>
      <c r="H114" s="27"/>
      <c r="I114" s="27"/>
      <c r="J114" s="26"/>
      <c r="K114" s="28"/>
      <c r="L114" s="79"/>
      <c r="M114" s="60"/>
      <c r="N114" s="81"/>
      <c r="O114" s="81"/>
      <c r="P114" s="81"/>
    </row>
    <row r="115" spans="2:16" ht="11.25" hidden="1">
      <c r="B115" s="15">
        <v>13</v>
      </c>
      <c r="C115" s="23">
        <f t="shared" si="55"/>
        <v>713</v>
      </c>
      <c r="D115" s="24"/>
      <c r="E115" s="25"/>
      <c r="F115" s="29"/>
      <c r="G115" s="29"/>
      <c r="H115" s="27"/>
      <c r="I115" s="27"/>
      <c r="J115" s="26"/>
      <c r="K115" s="28"/>
      <c r="L115" s="79"/>
      <c r="M115" s="60"/>
      <c r="N115" s="81"/>
      <c r="O115" s="81"/>
      <c r="P115" s="81"/>
    </row>
    <row r="116" spans="2:16" ht="11.25" hidden="1">
      <c r="B116" s="15">
        <v>14</v>
      </c>
      <c r="C116" s="23">
        <f t="shared" si="55"/>
        <v>714</v>
      </c>
      <c r="D116" s="24"/>
      <c r="E116" s="25"/>
      <c r="F116" s="29"/>
      <c r="G116" s="29"/>
      <c r="H116" s="27"/>
      <c r="I116" s="27"/>
      <c r="J116" s="26"/>
      <c r="K116" s="28"/>
      <c r="L116" s="79"/>
      <c r="M116" s="60"/>
      <c r="N116" s="81"/>
      <c r="O116" s="81"/>
      <c r="P116" s="81"/>
    </row>
    <row r="117" spans="2:16" ht="11.25" hidden="1">
      <c r="B117" s="15">
        <v>15</v>
      </c>
      <c r="C117" s="23">
        <f t="shared" si="55"/>
        <v>715</v>
      </c>
      <c r="D117" s="24"/>
      <c r="E117" s="25"/>
      <c r="F117" s="29"/>
      <c r="G117" s="29"/>
      <c r="H117" s="27"/>
      <c r="I117" s="27"/>
      <c r="J117" s="26"/>
      <c r="K117" s="28"/>
      <c r="L117" s="79"/>
      <c r="M117" s="60"/>
      <c r="N117" s="81"/>
      <c r="O117" s="81"/>
      <c r="P117" s="81"/>
    </row>
    <row r="118" spans="2:16" ht="11.25" hidden="1">
      <c r="B118" s="15">
        <v>16</v>
      </c>
      <c r="C118" s="23">
        <f t="shared" si="55"/>
        <v>716</v>
      </c>
      <c r="D118" s="24"/>
      <c r="E118" s="25"/>
      <c r="F118" s="29"/>
      <c r="G118" s="29"/>
      <c r="H118" s="27"/>
      <c r="I118" s="27"/>
      <c r="J118" s="26"/>
      <c r="K118" s="28"/>
      <c r="L118" s="79"/>
      <c r="M118" s="60"/>
      <c r="N118" s="81"/>
      <c r="O118" s="81"/>
      <c r="P118" s="81"/>
    </row>
    <row r="119" spans="1:16" ht="11.25">
      <c r="A119" s="23">
        <v>8</v>
      </c>
      <c r="B119" s="15">
        <v>1</v>
      </c>
      <c r="C119" s="23">
        <f>$A$119*100+B119</f>
        <v>801</v>
      </c>
      <c r="D119" s="24">
        <v>1.5</v>
      </c>
      <c r="E119" s="25" t="s">
        <v>10</v>
      </c>
      <c r="F119" s="29">
        <v>1.9</v>
      </c>
      <c r="G119" s="29">
        <v>0.065</v>
      </c>
      <c r="H119" s="27">
        <f aca="true" t="shared" si="58" ref="H119:H128">F119-2*G119</f>
        <v>1.77</v>
      </c>
      <c r="I119" s="27">
        <f aca="true" t="shared" si="59" ref="I119:I128">PI()*(F119^2-H119^2)/4</f>
        <v>0.37471346375692227</v>
      </c>
      <c r="J119" s="26">
        <f aca="true" t="shared" si="60" ref="J119:J128">PI()*H119^2/4</f>
        <v>2.4605739061078657</v>
      </c>
      <c r="K119" s="28">
        <f t="shared" si="9"/>
        <v>1.2738069441107016</v>
      </c>
      <c r="L119" s="60">
        <f aca="true" t="shared" si="61" ref="L119:L128">$J119*0.254^3*2.205*12</f>
        <v>1.0669090617341244</v>
      </c>
      <c r="M119" s="106">
        <f aca="true" t="shared" si="62" ref="M119:M128">K119+L119</f>
        <v>2.340716005844826</v>
      </c>
      <c r="N119" s="81">
        <f aca="true" t="shared" si="63" ref="N119:N209">PI()*(($F119)^4-($H119)^4)/64</f>
        <v>0.1579159634229095</v>
      </c>
      <c r="O119" s="81">
        <f aca="true" t="shared" si="64" ref="O119:O209">PI()*(($F119)^4-($H119)^4)/(32*($F119))</f>
        <v>0.1662273299188521</v>
      </c>
      <c r="P119" s="81">
        <f t="shared" si="8"/>
        <v>0.6491773640539233</v>
      </c>
    </row>
    <row r="120" spans="2:16" ht="11.25">
      <c r="B120" s="15">
        <v>2</v>
      </c>
      <c r="C120" s="23">
        <f aca="true" t="shared" si="65" ref="C120:C134">$A$119*100+B120</f>
        <v>802</v>
      </c>
      <c r="D120" s="24">
        <v>1.5</v>
      </c>
      <c r="E120" s="25" t="s">
        <v>11</v>
      </c>
      <c r="F120" s="29">
        <v>1.9</v>
      </c>
      <c r="G120" s="29">
        <v>0.109</v>
      </c>
      <c r="H120" s="27">
        <f t="shared" si="58"/>
        <v>1.682</v>
      </c>
      <c r="I120" s="27">
        <f t="shared" si="59"/>
        <v>0.6132985762411459</v>
      </c>
      <c r="J120" s="26">
        <f t="shared" si="60"/>
        <v>2.2219887936236424</v>
      </c>
      <c r="K120" s="28">
        <f t="shared" si="9"/>
        <v>2.084856992851371</v>
      </c>
      <c r="L120" s="60">
        <f t="shared" si="61"/>
        <v>0.96345814815969</v>
      </c>
      <c r="M120" s="106">
        <f t="shared" si="62"/>
        <v>3.048315141011061</v>
      </c>
      <c r="N120" s="81">
        <f t="shared" si="63"/>
        <v>0.24681909884001205</v>
      </c>
      <c r="O120" s="81">
        <f t="shared" si="64"/>
        <v>0.25980957772632846</v>
      </c>
      <c r="P120" s="81">
        <f t="shared" si="8"/>
        <v>0.6343857265102991</v>
      </c>
    </row>
    <row r="121" spans="2:16" ht="11.25">
      <c r="B121" s="15">
        <v>3</v>
      </c>
      <c r="C121" s="23">
        <f t="shared" si="65"/>
        <v>803</v>
      </c>
      <c r="D121" s="24">
        <v>1.5</v>
      </c>
      <c r="E121" s="25">
        <v>40</v>
      </c>
      <c r="F121" s="29">
        <v>1.9</v>
      </c>
      <c r="G121" s="29">
        <v>0.145</v>
      </c>
      <c r="H121" s="27">
        <f t="shared" si="58"/>
        <v>1.6099999999999999</v>
      </c>
      <c r="I121" s="27">
        <f t="shared" si="59"/>
        <v>0.7994567905222629</v>
      </c>
      <c r="J121" s="26">
        <f t="shared" si="60"/>
        <v>2.0358305793425253</v>
      </c>
      <c r="K121" s="28">
        <f t="shared" si="9"/>
        <v>2.717686205010029</v>
      </c>
      <c r="L121" s="60">
        <f t="shared" si="61"/>
        <v>0.882739627476467</v>
      </c>
      <c r="M121" s="106">
        <f t="shared" si="62"/>
        <v>3.600425832486496</v>
      </c>
      <c r="N121" s="81">
        <f t="shared" si="63"/>
        <v>0.30989443503113295</v>
      </c>
      <c r="O121" s="81">
        <f t="shared" si="64"/>
        <v>0.3262046684538242</v>
      </c>
      <c r="P121" s="81">
        <f t="shared" si="8"/>
        <v>0.6226003935109582</v>
      </c>
    </row>
    <row r="122" spans="2:16" ht="11.25">
      <c r="B122" s="15">
        <v>4</v>
      </c>
      <c r="C122" s="23">
        <f t="shared" si="65"/>
        <v>804</v>
      </c>
      <c r="D122" s="24">
        <v>1.5</v>
      </c>
      <c r="E122" s="25" t="s">
        <v>12</v>
      </c>
      <c r="F122" s="29">
        <v>1.9</v>
      </c>
      <c r="G122" s="29">
        <v>0.145</v>
      </c>
      <c r="H122" s="27">
        <f t="shared" si="58"/>
        <v>1.6099999999999999</v>
      </c>
      <c r="I122" s="27">
        <f t="shared" si="59"/>
        <v>0.7994567905222629</v>
      </c>
      <c r="J122" s="26">
        <f t="shared" si="60"/>
        <v>2.0358305793425253</v>
      </c>
      <c r="K122" s="28">
        <f t="shared" si="9"/>
        <v>2.717686205010029</v>
      </c>
      <c r="L122" s="60">
        <f t="shared" si="61"/>
        <v>0.882739627476467</v>
      </c>
      <c r="M122" s="106">
        <f t="shared" si="62"/>
        <v>3.600425832486496</v>
      </c>
      <c r="N122" s="81">
        <f t="shared" si="63"/>
        <v>0.30989443503113295</v>
      </c>
      <c r="O122" s="81">
        <f t="shared" si="64"/>
        <v>0.3262046684538242</v>
      </c>
      <c r="P122" s="81">
        <f t="shared" si="8"/>
        <v>0.6226003935109582</v>
      </c>
    </row>
    <row r="123" spans="2:16" ht="11.25">
      <c r="B123" s="15">
        <v>5</v>
      </c>
      <c r="C123" s="23">
        <f t="shared" si="65"/>
        <v>805</v>
      </c>
      <c r="D123" s="24">
        <v>1.5</v>
      </c>
      <c r="E123" s="25" t="s">
        <v>0</v>
      </c>
      <c r="F123" s="29">
        <v>1.9</v>
      </c>
      <c r="G123" s="29">
        <v>0.145</v>
      </c>
      <c r="H123" s="27">
        <f t="shared" si="58"/>
        <v>1.6099999999999999</v>
      </c>
      <c r="I123" s="27">
        <f t="shared" si="59"/>
        <v>0.7994567905222629</v>
      </c>
      <c r="J123" s="26">
        <f t="shared" si="60"/>
        <v>2.0358305793425253</v>
      </c>
      <c r="K123" s="28">
        <f t="shared" si="9"/>
        <v>2.717686205010029</v>
      </c>
      <c r="L123" s="60">
        <f t="shared" si="61"/>
        <v>0.882739627476467</v>
      </c>
      <c r="M123" s="106">
        <f t="shared" si="62"/>
        <v>3.600425832486496</v>
      </c>
      <c r="N123" s="81">
        <f t="shared" si="63"/>
        <v>0.30989443503113295</v>
      </c>
      <c r="O123" s="81">
        <f t="shared" si="64"/>
        <v>0.3262046684538242</v>
      </c>
      <c r="P123" s="81">
        <f aca="true" t="shared" si="66" ref="P123:P223">SQRT(N123/I123)</f>
        <v>0.6226003935109582</v>
      </c>
    </row>
    <row r="124" spans="2:16" ht="11.25">
      <c r="B124" s="15">
        <v>6</v>
      </c>
      <c r="C124" s="23">
        <f t="shared" si="65"/>
        <v>806</v>
      </c>
      <c r="D124" s="24">
        <v>1.5</v>
      </c>
      <c r="E124" s="25">
        <v>80</v>
      </c>
      <c r="F124" s="29">
        <v>1.9</v>
      </c>
      <c r="G124" s="29">
        <v>0.2</v>
      </c>
      <c r="H124" s="27">
        <f t="shared" si="58"/>
        <v>1.5</v>
      </c>
      <c r="I124" s="27">
        <f t="shared" si="59"/>
        <v>1.0681415022205296</v>
      </c>
      <c r="J124" s="26">
        <f t="shared" si="60"/>
        <v>1.7671458676442586</v>
      </c>
      <c r="K124" s="28">
        <f aca="true" t="shared" si="67" ref="K124:K224">I124*3.399416</f>
        <v>3.631057312912504</v>
      </c>
      <c r="L124" s="60">
        <f t="shared" si="61"/>
        <v>0.766237476108966</v>
      </c>
      <c r="M124" s="106">
        <f t="shared" si="62"/>
        <v>4.39729478902147</v>
      </c>
      <c r="N124" s="81">
        <f t="shared" si="63"/>
        <v>0.391206825188269</v>
      </c>
      <c r="O124" s="81">
        <f t="shared" si="64"/>
        <v>0.41179665809291477</v>
      </c>
      <c r="P124" s="81">
        <f t="shared" si="66"/>
        <v>0.6051859218455102</v>
      </c>
    </row>
    <row r="125" spans="2:16" ht="11.25">
      <c r="B125" s="15">
        <v>7</v>
      </c>
      <c r="C125" s="23">
        <f t="shared" si="65"/>
        <v>807</v>
      </c>
      <c r="D125" s="24">
        <v>1.5</v>
      </c>
      <c r="E125" s="25" t="s">
        <v>13</v>
      </c>
      <c r="F125" s="29">
        <v>1.9</v>
      </c>
      <c r="G125" s="29">
        <v>0.2</v>
      </c>
      <c r="H125" s="27">
        <f t="shared" si="58"/>
        <v>1.5</v>
      </c>
      <c r="I125" s="27">
        <f t="shared" si="59"/>
        <v>1.0681415022205296</v>
      </c>
      <c r="J125" s="26">
        <f t="shared" si="60"/>
        <v>1.7671458676442586</v>
      </c>
      <c r="K125" s="28">
        <f t="shared" si="67"/>
        <v>3.631057312912504</v>
      </c>
      <c r="L125" s="60">
        <f t="shared" si="61"/>
        <v>0.766237476108966</v>
      </c>
      <c r="M125" s="106">
        <f t="shared" si="62"/>
        <v>4.39729478902147</v>
      </c>
      <c r="N125" s="81">
        <f t="shared" si="63"/>
        <v>0.391206825188269</v>
      </c>
      <c r="O125" s="81">
        <f t="shared" si="64"/>
        <v>0.41179665809291477</v>
      </c>
      <c r="P125" s="81">
        <f t="shared" si="66"/>
        <v>0.6051859218455102</v>
      </c>
    </row>
    <row r="126" spans="2:16" ht="11.25">
      <c r="B126" s="15">
        <v>8</v>
      </c>
      <c r="C126" s="23">
        <f t="shared" si="65"/>
        <v>808</v>
      </c>
      <c r="D126" s="24">
        <v>1.5</v>
      </c>
      <c r="E126" s="25" t="s">
        <v>1</v>
      </c>
      <c r="F126" s="29">
        <v>1.9</v>
      </c>
      <c r="G126" s="29">
        <v>0.2</v>
      </c>
      <c r="H126" s="27">
        <f t="shared" si="58"/>
        <v>1.5</v>
      </c>
      <c r="I126" s="27">
        <f t="shared" si="59"/>
        <v>1.0681415022205296</v>
      </c>
      <c r="J126" s="26">
        <f t="shared" si="60"/>
        <v>1.7671458676442586</v>
      </c>
      <c r="K126" s="28">
        <f t="shared" si="67"/>
        <v>3.631057312912504</v>
      </c>
      <c r="L126" s="60">
        <f t="shared" si="61"/>
        <v>0.766237476108966</v>
      </c>
      <c r="M126" s="106">
        <f t="shared" si="62"/>
        <v>4.39729478902147</v>
      </c>
      <c r="N126" s="81">
        <f t="shared" si="63"/>
        <v>0.391206825188269</v>
      </c>
      <c r="O126" s="81">
        <f t="shared" si="64"/>
        <v>0.41179665809291477</v>
      </c>
      <c r="P126" s="81">
        <f t="shared" si="66"/>
        <v>0.6051859218455102</v>
      </c>
    </row>
    <row r="127" spans="2:16" ht="11.25">
      <c r="B127" s="15">
        <v>9</v>
      </c>
      <c r="C127" s="23">
        <f t="shared" si="65"/>
        <v>809</v>
      </c>
      <c r="D127" s="24">
        <v>1.5</v>
      </c>
      <c r="E127" s="25">
        <v>160</v>
      </c>
      <c r="F127" s="29">
        <v>1.9</v>
      </c>
      <c r="G127" s="29">
        <v>0.281</v>
      </c>
      <c r="H127" s="27">
        <f t="shared" si="58"/>
        <v>1.3379999999999999</v>
      </c>
      <c r="I127" s="27">
        <f t="shared" si="59"/>
        <v>1.429233020231487</v>
      </c>
      <c r="J127" s="26">
        <f t="shared" si="60"/>
        <v>1.4060543496333011</v>
      </c>
      <c r="K127" s="28">
        <f t="shared" si="67"/>
        <v>4.85855759670324</v>
      </c>
      <c r="L127" s="60">
        <f t="shared" si="61"/>
        <v>0.6096675751907643</v>
      </c>
      <c r="M127" s="106">
        <f t="shared" si="62"/>
        <v>5.468225171894004</v>
      </c>
      <c r="N127" s="81">
        <f t="shared" si="63"/>
        <v>0.4823879401316854</v>
      </c>
      <c r="O127" s="81">
        <f t="shared" si="64"/>
        <v>0.5077767790859846</v>
      </c>
      <c r="P127" s="81">
        <f t="shared" si="66"/>
        <v>0.5809606268930796</v>
      </c>
    </row>
    <row r="128" spans="2:16" ht="11.25">
      <c r="B128" s="15">
        <v>10</v>
      </c>
      <c r="C128" s="23">
        <f t="shared" si="65"/>
        <v>810</v>
      </c>
      <c r="D128" s="24">
        <v>1.5</v>
      </c>
      <c r="E128" s="25" t="s">
        <v>2</v>
      </c>
      <c r="F128" s="29">
        <v>1.9</v>
      </c>
      <c r="G128" s="29">
        <v>0.4</v>
      </c>
      <c r="H128" s="27">
        <f t="shared" si="58"/>
        <v>1.0999999999999999</v>
      </c>
      <c r="I128" s="27">
        <f t="shared" si="59"/>
        <v>1.884955592153876</v>
      </c>
      <c r="J128" s="26">
        <f t="shared" si="60"/>
        <v>0.9503317777109123</v>
      </c>
      <c r="K128" s="28">
        <f t="shared" si="67"/>
        <v>6.407748199257361</v>
      </c>
      <c r="L128" s="60">
        <f t="shared" si="61"/>
        <v>0.4120654871519328</v>
      </c>
      <c r="M128" s="106">
        <f t="shared" si="62"/>
        <v>6.819813686409294</v>
      </c>
      <c r="N128" s="81">
        <f t="shared" si="63"/>
        <v>0.5678428721363552</v>
      </c>
      <c r="O128" s="81">
        <f t="shared" si="64"/>
        <v>0.5977293390909002</v>
      </c>
      <c r="P128" s="81">
        <f t="shared" si="66"/>
        <v>0.5488624600025037</v>
      </c>
    </row>
    <row r="129" spans="2:16" ht="11.25" hidden="1">
      <c r="B129" s="15">
        <v>11</v>
      </c>
      <c r="C129" s="23">
        <f t="shared" si="65"/>
        <v>811</v>
      </c>
      <c r="D129" s="24"/>
      <c r="E129" s="25"/>
      <c r="F129" s="29"/>
      <c r="G129" s="29"/>
      <c r="H129" s="27"/>
      <c r="I129" s="27"/>
      <c r="J129" s="26"/>
      <c r="K129" s="28"/>
      <c r="L129" s="79"/>
      <c r="M129" s="60"/>
      <c r="N129" s="81"/>
      <c r="O129" s="81"/>
      <c r="P129" s="81"/>
    </row>
    <row r="130" spans="2:16" ht="11.25" hidden="1">
      <c r="B130" s="15">
        <v>12</v>
      </c>
      <c r="C130" s="23">
        <f t="shared" si="65"/>
        <v>812</v>
      </c>
      <c r="D130" s="24"/>
      <c r="E130" s="25"/>
      <c r="F130" s="29"/>
      <c r="G130" s="29"/>
      <c r="H130" s="27"/>
      <c r="I130" s="27"/>
      <c r="J130" s="26"/>
      <c r="K130" s="28"/>
      <c r="L130" s="79"/>
      <c r="M130" s="60"/>
      <c r="N130" s="81"/>
      <c r="O130" s="81"/>
      <c r="P130" s="81"/>
    </row>
    <row r="131" spans="2:16" ht="11.25" hidden="1">
      <c r="B131" s="15">
        <v>13</v>
      </c>
      <c r="C131" s="23">
        <f t="shared" si="65"/>
        <v>813</v>
      </c>
      <c r="D131" s="24"/>
      <c r="E131" s="25"/>
      <c r="F131" s="29"/>
      <c r="G131" s="29"/>
      <c r="H131" s="27"/>
      <c r="I131" s="27"/>
      <c r="J131" s="26"/>
      <c r="K131" s="28"/>
      <c r="L131" s="79"/>
      <c r="M131" s="60"/>
      <c r="N131" s="81"/>
      <c r="O131" s="81"/>
      <c r="P131" s="81"/>
    </row>
    <row r="132" spans="2:16" ht="11.25" hidden="1">
      <c r="B132" s="15">
        <v>14</v>
      </c>
      <c r="C132" s="23">
        <f t="shared" si="65"/>
        <v>814</v>
      </c>
      <c r="D132" s="24"/>
      <c r="E132" s="25"/>
      <c r="F132" s="29"/>
      <c r="G132" s="29"/>
      <c r="H132" s="27"/>
      <c r="I132" s="27"/>
      <c r="J132" s="26"/>
      <c r="K132" s="28"/>
      <c r="L132" s="79"/>
      <c r="M132" s="60"/>
      <c r="N132" s="81"/>
      <c r="O132" s="81"/>
      <c r="P132" s="81"/>
    </row>
    <row r="133" spans="2:16" ht="11.25" hidden="1">
      <c r="B133" s="15">
        <v>15</v>
      </c>
      <c r="C133" s="23">
        <f t="shared" si="65"/>
        <v>815</v>
      </c>
      <c r="D133" s="24"/>
      <c r="E133" s="25"/>
      <c r="F133" s="29"/>
      <c r="G133" s="29"/>
      <c r="H133" s="27"/>
      <c r="I133" s="27"/>
      <c r="J133" s="26"/>
      <c r="K133" s="28"/>
      <c r="L133" s="79"/>
      <c r="M133" s="60"/>
      <c r="N133" s="81"/>
      <c r="O133" s="81"/>
      <c r="P133" s="81"/>
    </row>
    <row r="134" spans="2:16" ht="11.25" hidden="1">
      <c r="B134" s="15">
        <v>16</v>
      </c>
      <c r="C134" s="23">
        <f t="shared" si="65"/>
        <v>816</v>
      </c>
      <c r="D134" s="24"/>
      <c r="E134" s="25"/>
      <c r="F134" s="29"/>
      <c r="G134" s="29"/>
      <c r="H134" s="27"/>
      <c r="I134" s="27"/>
      <c r="J134" s="26"/>
      <c r="K134" s="28"/>
      <c r="L134" s="79"/>
      <c r="M134" s="60"/>
      <c r="N134" s="81"/>
      <c r="O134" s="81"/>
      <c r="P134" s="81"/>
    </row>
    <row r="135" spans="1:16" ht="11.25">
      <c r="A135" s="23">
        <v>9</v>
      </c>
      <c r="B135" s="15">
        <v>1</v>
      </c>
      <c r="C135" s="23">
        <f>$A$135*100+B135</f>
        <v>901</v>
      </c>
      <c r="D135" s="24">
        <v>2</v>
      </c>
      <c r="E135" s="25" t="s">
        <v>10</v>
      </c>
      <c r="F135" s="29">
        <v>2.375</v>
      </c>
      <c r="G135" s="29">
        <v>0.065</v>
      </c>
      <c r="H135" s="27">
        <f aca="true" t="shared" si="68" ref="H135:H144">F135-2*G135</f>
        <v>2.245</v>
      </c>
      <c r="I135" s="27">
        <f aca="true" t="shared" si="69" ref="I135:I144">PI()*(F135^2-H135^2)/4</f>
        <v>0.47171013693650676</v>
      </c>
      <c r="J135" s="26">
        <f aca="true" t="shared" si="70" ref="J135:J144">PI()*H135^2/4</f>
        <v>3.958426378477225</v>
      </c>
      <c r="K135" s="28">
        <f t="shared" si="67"/>
        <v>1.603538986864152</v>
      </c>
      <c r="L135" s="60">
        <f aca="true" t="shared" si="71" ref="L135:L144">$J135*0.254^3*2.205*12</f>
        <v>1.7163804602338184</v>
      </c>
      <c r="M135" s="106">
        <f aca="true" t="shared" si="72" ref="M135:M144">K135+L135</f>
        <v>3.3199194470979707</v>
      </c>
      <c r="N135" s="81">
        <f t="shared" si="63"/>
        <v>0.3148856796294313</v>
      </c>
      <c r="O135" s="81">
        <f t="shared" si="64"/>
        <v>0.2651668881089948</v>
      </c>
      <c r="P135" s="81">
        <f t="shared" si="66"/>
        <v>0.8170315936363783</v>
      </c>
    </row>
    <row r="136" spans="2:16" ht="11.25">
      <c r="B136" s="15">
        <v>2</v>
      </c>
      <c r="C136" s="23">
        <f aca="true" t="shared" si="73" ref="C136:C150">$A$135*100+B136</f>
        <v>902</v>
      </c>
      <c r="D136" s="24">
        <v>2</v>
      </c>
      <c r="E136" s="25" t="s">
        <v>11</v>
      </c>
      <c r="F136" s="29">
        <v>2.375</v>
      </c>
      <c r="G136" s="29">
        <v>0.109</v>
      </c>
      <c r="H136" s="27">
        <f t="shared" si="68"/>
        <v>2.157</v>
      </c>
      <c r="I136" s="27">
        <f t="shared" si="69"/>
        <v>0.7759545358807571</v>
      </c>
      <c r="J136" s="26">
        <f t="shared" si="70"/>
        <v>3.6541819795329746</v>
      </c>
      <c r="K136" s="28">
        <f t="shared" si="67"/>
        <v>2.6377922645456198</v>
      </c>
      <c r="L136" s="60">
        <f t="shared" si="71"/>
        <v>1.584459567547069</v>
      </c>
      <c r="M136" s="106">
        <f t="shared" si="72"/>
        <v>4.222251832092689</v>
      </c>
      <c r="N136" s="81">
        <f t="shared" si="63"/>
        <v>0.4991945405852165</v>
      </c>
      <c r="O136" s="81">
        <f t="shared" si="64"/>
        <v>0.4203743499664981</v>
      </c>
      <c r="P136" s="81">
        <f t="shared" si="66"/>
        <v>0.8020783160016234</v>
      </c>
    </row>
    <row r="137" spans="2:16" ht="11.25">
      <c r="B137" s="15">
        <v>3</v>
      </c>
      <c r="C137" s="23">
        <f t="shared" si="73"/>
        <v>903</v>
      </c>
      <c r="D137" s="24">
        <v>2</v>
      </c>
      <c r="E137" s="25">
        <v>40</v>
      </c>
      <c r="F137" s="29">
        <v>2.375</v>
      </c>
      <c r="G137" s="29">
        <v>0.154</v>
      </c>
      <c r="H137" s="27">
        <f t="shared" si="68"/>
        <v>2.067</v>
      </c>
      <c r="I137" s="27">
        <f t="shared" si="69"/>
        <v>1.0745315016779304</v>
      </c>
      <c r="J137" s="26">
        <f t="shared" si="70"/>
        <v>3.355605013735801</v>
      </c>
      <c r="K137" s="28">
        <f t="shared" si="67"/>
        <v>3.6527795793079836</v>
      </c>
      <c r="L137" s="60">
        <f t="shared" si="71"/>
        <v>1.4549960835836981</v>
      </c>
      <c r="M137" s="106">
        <f t="shared" si="72"/>
        <v>5.107775662891681</v>
      </c>
      <c r="N137" s="81">
        <f t="shared" si="63"/>
        <v>0.6657470795452823</v>
      </c>
      <c r="O137" s="81">
        <f t="shared" si="64"/>
        <v>0.5606291196170798</v>
      </c>
      <c r="P137" s="81">
        <f t="shared" si="66"/>
        <v>0.7871274515604192</v>
      </c>
    </row>
    <row r="138" spans="2:16" ht="11.25">
      <c r="B138" s="15">
        <v>4</v>
      </c>
      <c r="C138" s="23">
        <f t="shared" si="73"/>
        <v>904</v>
      </c>
      <c r="D138" s="24">
        <v>2</v>
      </c>
      <c r="E138" s="25" t="s">
        <v>12</v>
      </c>
      <c r="F138" s="29">
        <v>2.375</v>
      </c>
      <c r="G138" s="29">
        <v>0.154</v>
      </c>
      <c r="H138" s="27">
        <f t="shared" si="68"/>
        <v>2.067</v>
      </c>
      <c r="I138" s="27">
        <f t="shared" si="69"/>
        <v>1.0745315016779304</v>
      </c>
      <c r="J138" s="26">
        <f t="shared" si="70"/>
        <v>3.355605013735801</v>
      </c>
      <c r="K138" s="28">
        <f t="shared" si="67"/>
        <v>3.6527795793079836</v>
      </c>
      <c r="L138" s="60">
        <f t="shared" si="71"/>
        <v>1.4549960835836981</v>
      </c>
      <c r="M138" s="106">
        <f t="shared" si="72"/>
        <v>5.107775662891681</v>
      </c>
      <c r="N138" s="81">
        <f t="shared" si="63"/>
        <v>0.6657470795452823</v>
      </c>
      <c r="O138" s="81">
        <f t="shared" si="64"/>
        <v>0.5606291196170798</v>
      </c>
      <c r="P138" s="81">
        <f t="shared" si="66"/>
        <v>0.7871274515604192</v>
      </c>
    </row>
    <row r="139" spans="2:16" ht="11.25">
      <c r="B139" s="15">
        <v>5</v>
      </c>
      <c r="C139" s="23">
        <f t="shared" si="73"/>
        <v>905</v>
      </c>
      <c r="D139" s="24">
        <v>2</v>
      </c>
      <c r="E139" s="25" t="s">
        <v>0</v>
      </c>
      <c r="F139" s="29">
        <v>2.375</v>
      </c>
      <c r="G139" s="29">
        <v>0.154</v>
      </c>
      <c r="H139" s="27">
        <f t="shared" si="68"/>
        <v>2.067</v>
      </c>
      <c r="I139" s="27">
        <f t="shared" si="69"/>
        <v>1.0745315016779304</v>
      </c>
      <c r="J139" s="26">
        <f t="shared" si="70"/>
        <v>3.355605013735801</v>
      </c>
      <c r="K139" s="28">
        <f t="shared" si="67"/>
        <v>3.6527795793079836</v>
      </c>
      <c r="L139" s="60">
        <f t="shared" si="71"/>
        <v>1.4549960835836981</v>
      </c>
      <c r="M139" s="106">
        <f t="shared" si="72"/>
        <v>5.107775662891681</v>
      </c>
      <c r="N139" s="81">
        <f t="shared" si="63"/>
        <v>0.6657470795452823</v>
      </c>
      <c r="O139" s="81">
        <f t="shared" si="64"/>
        <v>0.5606291196170798</v>
      </c>
      <c r="P139" s="81">
        <f t="shared" si="66"/>
        <v>0.7871274515604192</v>
      </c>
    </row>
    <row r="140" spans="2:16" ht="11.25">
      <c r="B140" s="15">
        <v>6</v>
      </c>
      <c r="C140" s="23">
        <f t="shared" si="73"/>
        <v>906</v>
      </c>
      <c r="D140" s="24">
        <v>2</v>
      </c>
      <c r="E140" s="25">
        <v>80</v>
      </c>
      <c r="F140" s="29">
        <v>2.375</v>
      </c>
      <c r="G140" s="29">
        <v>0.218</v>
      </c>
      <c r="H140" s="27">
        <f t="shared" si="68"/>
        <v>1.939</v>
      </c>
      <c r="I140" s="27">
        <f t="shared" si="69"/>
        <v>1.4772585471269137</v>
      </c>
      <c r="J140" s="26">
        <f t="shared" si="70"/>
        <v>2.952877968286818</v>
      </c>
      <c r="K140" s="28">
        <f t="shared" si="67"/>
        <v>5.021816341239985</v>
      </c>
      <c r="L140" s="60">
        <f t="shared" si="71"/>
        <v>1.2803729466283902</v>
      </c>
      <c r="M140" s="106">
        <f t="shared" si="72"/>
        <v>6.302189287868375</v>
      </c>
      <c r="N140" s="81">
        <f t="shared" si="63"/>
        <v>0.8679213421531434</v>
      </c>
      <c r="O140" s="81">
        <f t="shared" si="64"/>
        <v>0.7308811302342261</v>
      </c>
      <c r="P140" s="81">
        <f t="shared" si="66"/>
        <v>0.7664995923025661</v>
      </c>
    </row>
    <row r="141" spans="2:16" ht="11.25">
      <c r="B141" s="15">
        <v>7</v>
      </c>
      <c r="C141" s="23">
        <f t="shared" si="73"/>
        <v>907</v>
      </c>
      <c r="D141" s="24">
        <v>2</v>
      </c>
      <c r="E141" s="25" t="s">
        <v>13</v>
      </c>
      <c r="F141" s="29">
        <v>2.375</v>
      </c>
      <c r="G141" s="29">
        <v>0.218</v>
      </c>
      <c r="H141" s="27">
        <f t="shared" si="68"/>
        <v>1.939</v>
      </c>
      <c r="I141" s="27">
        <f t="shared" si="69"/>
        <v>1.4772585471269137</v>
      </c>
      <c r="J141" s="26">
        <f t="shared" si="70"/>
        <v>2.952877968286818</v>
      </c>
      <c r="K141" s="28">
        <f t="shared" si="67"/>
        <v>5.021816341239985</v>
      </c>
      <c r="L141" s="60">
        <f t="shared" si="71"/>
        <v>1.2803729466283902</v>
      </c>
      <c r="M141" s="106">
        <f t="shared" si="72"/>
        <v>6.302189287868375</v>
      </c>
      <c r="N141" s="81">
        <f t="shared" si="63"/>
        <v>0.8679213421531434</v>
      </c>
      <c r="O141" s="81">
        <f t="shared" si="64"/>
        <v>0.7308811302342261</v>
      </c>
      <c r="P141" s="81">
        <f t="shared" si="66"/>
        <v>0.7664995923025661</v>
      </c>
    </row>
    <row r="142" spans="2:16" ht="11.25">
      <c r="B142" s="15">
        <v>8</v>
      </c>
      <c r="C142" s="23">
        <f t="shared" si="73"/>
        <v>908</v>
      </c>
      <c r="D142" s="24">
        <v>2</v>
      </c>
      <c r="E142" s="25" t="s">
        <v>1</v>
      </c>
      <c r="F142" s="29">
        <v>2.375</v>
      </c>
      <c r="G142" s="29">
        <v>0.218</v>
      </c>
      <c r="H142" s="27">
        <f t="shared" si="68"/>
        <v>1.939</v>
      </c>
      <c r="I142" s="27">
        <f t="shared" si="69"/>
        <v>1.4772585471269137</v>
      </c>
      <c r="J142" s="26">
        <f t="shared" si="70"/>
        <v>2.952877968286818</v>
      </c>
      <c r="K142" s="28">
        <f t="shared" si="67"/>
        <v>5.021816341239985</v>
      </c>
      <c r="L142" s="60">
        <f t="shared" si="71"/>
        <v>1.2803729466283902</v>
      </c>
      <c r="M142" s="106">
        <f t="shared" si="72"/>
        <v>6.302189287868375</v>
      </c>
      <c r="N142" s="81">
        <f t="shared" si="63"/>
        <v>0.8679213421531434</v>
      </c>
      <c r="O142" s="81">
        <f t="shared" si="64"/>
        <v>0.7308811302342261</v>
      </c>
      <c r="P142" s="81">
        <f t="shared" si="66"/>
        <v>0.7664995923025661</v>
      </c>
    </row>
    <row r="143" spans="2:16" ht="11.25">
      <c r="B143" s="15">
        <v>9</v>
      </c>
      <c r="C143" s="23">
        <f t="shared" si="73"/>
        <v>909</v>
      </c>
      <c r="D143" s="24">
        <v>2</v>
      </c>
      <c r="E143" s="25">
        <v>160</v>
      </c>
      <c r="F143" s="29">
        <v>2.375</v>
      </c>
      <c r="G143" s="29">
        <v>0.343</v>
      </c>
      <c r="H143" s="27">
        <f t="shared" si="68"/>
        <v>1.689</v>
      </c>
      <c r="I143" s="27">
        <f t="shared" si="69"/>
        <v>2.189614681328399</v>
      </c>
      <c r="J143" s="26">
        <f t="shared" si="70"/>
        <v>2.240521834085332</v>
      </c>
      <c r="K143" s="28">
        <f t="shared" si="67"/>
        <v>7.443411181542661</v>
      </c>
      <c r="L143" s="60">
        <f t="shared" si="71"/>
        <v>0.9714941062591316</v>
      </c>
      <c r="M143" s="106">
        <f t="shared" si="72"/>
        <v>8.414905287801792</v>
      </c>
      <c r="N143" s="81">
        <f t="shared" si="63"/>
        <v>1.162322193450115</v>
      </c>
      <c r="O143" s="81">
        <f t="shared" si="64"/>
        <v>0.9787976365895704</v>
      </c>
      <c r="P143" s="81">
        <f t="shared" si="66"/>
        <v>0.7285836431048944</v>
      </c>
    </row>
    <row r="144" spans="2:16" ht="11.25">
      <c r="B144" s="15">
        <v>10</v>
      </c>
      <c r="C144" s="23">
        <f t="shared" si="73"/>
        <v>910</v>
      </c>
      <c r="D144" s="24">
        <v>2</v>
      </c>
      <c r="E144" s="25" t="s">
        <v>2</v>
      </c>
      <c r="F144" s="29">
        <v>2.375</v>
      </c>
      <c r="G144" s="29">
        <v>0.436</v>
      </c>
      <c r="H144" s="27">
        <f t="shared" si="68"/>
        <v>1.5030000000000001</v>
      </c>
      <c r="I144" s="27">
        <f t="shared" si="69"/>
        <v>2.6559149957154253</v>
      </c>
      <c r="J144" s="26">
        <f t="shared" si="70"/>
        <v>1.7742215196983064</v>
      </c>
      <c r="K144" s="28">
        <f t="shared" si="67"/>
        <v>9.028559931074948</v>
      </c>
      <c r="L144" s="60">
        <f t="shared" si="71"/>
        <v>0.7693054909633064</v>
      </c>
      <c r="M144" s="106">
        <f t="shared" si="72"/>
        <v>9.797865422038255</v>
      </c>
      <c r="N144" s="81">
        <f t="shared" si="63"/>
        <v>1.3112972750789642</v>
      </c>
      <c r="O144" s="81">
        <f t="shared" si="64"/>
        <v>1.1042503369086014</v>
      </c>
      <c r="P144" s="81">
        <f t="shared" si="66"/>
        <v>0.7026571888196975</v>
      </c>
    </row>
    <row r="145" spans="2:16" ht="11.25" hidden="1">
      <c r="B145" s="15">
        <v>11</v>
      </c>
      <c r="C145" s="23">
        <f t="shared" si="73"/>
        <v>911</v>
      </c>
      <c r="D145" s="24"/>
      <c r="E145" s="25"/>
      <c r="F145" s="29"/>
      <c r="G145" s="29"/>
      <c r="H145" s="27"/>
      <c r="I145" s="27"/>
      <c r="J145" s="26"/>
      <c r="K145" s="28"/>
      <c r="L145" s="79"/>
      <c r="M145" s="60"/>
      <c r="N145" s="81"/>
      <c r="O145" s="81"/>
      <c r="P145" s="81"/>
    </row>
    <row r="146" spans="2:16" ht="11.25" hidden="1">
      <c r="B146" s="15">
        <v>12</v>
      </c>
      <c r="C146" s="23">
        <f t="shared" si="73"/>
        <v>912</v>
      </c>
      <c r="D146" s="24"/>
      <c r="E146" s="25"/>
      <c r="F146" s="29"/>
      <c r="G146" s="29"/>
      <c r="H146" s="27"/>
      <c r="I146" s="27"/>
      <c r="J146" s="26"/>
      <c r="K146" s="28"/>
      <c r="L146" s="79"/>
      <c r="M146" s="60"/>
      <c r="N146" s="81"/>
      <c r="O146" s="81"/>
      <c r="P146" s="81"/>
    </row>
    <row r="147" spans="2:16" ht="11.25" hidden="1">
      <c r="B147" s="15">
        <v>13</v>
      </c>
      <c r="C147" s="23">
        <f t="shared" si="73"/>
        <v>913</v>
      </c>
      <c r="D147" s="24"/>
      <c r="E147" s="25"/>
      <c r="F147" s="29"/>
      <c r="G147" s="29"/>
      <c r="H147" s="27"/>
      <c r="I147" s="27"/>
      <c r="J147" s="26"/>
      <c r="K147" s="28"/>
      <c r="L147" s="79"/>
      <c r="M147" s="60"/>
      <c r="N147" s="81"/>
      <c r="O147" s="81"/>
      <c r="P147" s="81"/>
    </row>
    <row r="148" spans="2:16" ht="11.25" hidden="1">
      <c r="B148" s="15">
        <v>14</v>
      </c>
      <c r="C148" s="23">
        <f t="shared" si="73"/>
        <v>914</v>
      </c>
      <c r="D148" s="24"/>
      <c r="E148" s="25"/>
      <c r="F148" s="29"/>
      <c r="G148" s="29"/>
      <c r="H148" s="27"/>
      <c r="I148" s="27"/>
      <c r="J148" s="26"/>
      <c r="K148" s="28"/>
      <c r="L148" s="79"/>
      <c r="M148" s="60"/>
      <c r="N148" s="81"/>
      <c r="O148" s="81"/>
      <c r="P148" s="81"/>
    </row>
    <row r="149" spans="2:16" ht="11.25" hidden="1">
      <c r="B149" s="15">
        <v>15</v>
      </c>
      <c r="C149" s="23">
        <f t="shared" si="73"/>
        <v>915</v>
      </c>
      <c r="D149" s="24"/>
      <c r="E149" s="25"/>
      <c r="F149" s="29"/>
      <c r="G149" s="29"/>
      <c r="H149" s="27"/>
      <c r="I149" s="27"/>
      <c r="J149" s="26"/>
      <c r="K149" s="28"/>
      <c r="L149" s="79"/>
      <c r="M149" s="60"/>
      <c r="N149" s="81"/>
      <c r="O149" s="81"/>
      <c r="P149" s="81"/>
    </row>
    <row r="150" spans="2:16" ht="11.25" hidden="1">
      <c r="B150" s="15">
        <v>16</v>
      </c>
      <c r="C150" s="23">
        <f t="shared" si="73"/>
        <v>916</v>
      </c>
      <c r="D150" s="24"/>
      <c r="E150" s="25"/>
      <c r="F150" s="29"/>
      <c r="G150" s="29"/>
      <c r="H150" s="27"/>
      <c r="I150" s="27"/>
      <c r="J150" s="26"/>
      <c r="K150" s="28"/>
      <c r="L150" s="79"/>
      <c r="M150" s="60"/>
      <c r="N150" s="81"/>
      <c r="O150" s="81"/>
      <c r="P150" s="81"/>
    </row>
    <row r="151" spans="1:16" ht="11.25">
      <c r="A151" s="23">
        <v>10</v>
      </c>
      <c r="B151" s="15">
        <v>1</v>
      </c>
      <c r="C151" s="23">
        <f>$A$151*100+B151</f>
        <v>1001</v>
      </c>
      <c r="D151" s="24">
        <v>2.5</v>
      </c>
      <c r="E151" s="25" t="s">
        <v>10</v>
      </c>
      <c r="F151" s="29">
        <v>2.875</v>
      </c>
      <c r="G151" s="29">
        <v>0.083</v>
      </c>
      <c r="H151" s="27">
        <f aca="true" t="shared" si="74" ref="H151:H160">F151-2*G151</f>
        <v>2.709</v>
      </c>
      <c r="I151" s="27">
        <f aca="true" t="shared" si="75" ref="I151:I160">PI()*(F151^2-H151^2)/4</f>
        <v>0.7280201151722842</v>
      </c>
      <c r="J151" s="26">
        <f aca="true" t="shared" si="76" ref="J151:J160">PI()*H151^2/4</f>
        <v>5.763786579159749</v>
      </c>
      <c r="K151" s="28">
        <f t="shared" si="67"/>
        <v>2.4748432278385053</v>
      </c>
      <c r="L151" s="60">
        <f aca="true" t="shared" si="77" ref="L151:L160">$J151*0.254^3*2.205*12</f>
        <v>2.4991877366261432</v>
      </c>
      <c r="M151" s="106">
        <f aca="true" t="shared" si="78" ref="M151:M160">K151+L151</f>
        <v>4.9740309644646485</v>
      </c>
      <c r="N151" s="81">
        <f t="shared" si="63"/>
        <v>0.7100155407064728</v>
      </c>
      <c r="O151" s="81">
        <f t="shared" si="64"/>
        <v>0.4939238544045028</v>
      </c>
      <c r="P151" s="81">
        <f t="shared" si="66"/>
        <v>0.987557150244987</v>
      </c>
    </row>
    <row r="152" spans="2:16" ht="11.25">
      <c r="B152" s="15">
        <v>2</v>
      </c>
      <c r="C152" s="23">
        <f aca="true" t="shared" si="79" ref="C152:C166">$A$151*100+B152</f>
        <v>1002</v>
      </c>
      <c r="D152" s="24">
        <v>2.5</v>
      </c>
      <c r="E152" s="25" t="s">
        <v>11</v>
      </c>
      <c r="F152" s="29">
        <v>2.875</v>
      </c>
      <c r="G152" s="29">
        <v>0.12</v>
      </c>
      <c r="H152" s="27">
        <f t="shared" si="74"/>
        <v>2.635</v>
      </c>
      <c r="I152" s="27">
        <f t="shared" si="75"/>
        <v>1.0386105312767864</v>
      </c>
      <c r="J152" s="26">
        <f t="shared" si="76"/>
        <v>5.453196163055247</v>
      </c>
      <c r="K152" s="28">
        <f t="shared" si="67"/>
        <v>3.530669257790808</v>
      </c>
      <c r="L152" s="60">
        <f t="shared" si="77"/>
        <v>2.3645152000251883</v>
      </c>
      <c r="M152" s="106">
        <f t="shared" si="78"/>
        <v>5.895184457815996</v>
      </c>
      <c r="N152" s="81">
        <f t="shared" si="63"/>
        <v>0.9872544861630596</v>
      </c>
      <c r="O152" s="81">
        <f t="shared" si="64"/>
        <v>0.686785729504737</v>
      </c>
      <c r="P152" s="81">
        <f t="shared" si="66"/>
        <v>0.974963140328905</v>
      </c>
    </row>
    <row r="153" spans="2:16" ht="11.25">
      <c r="B153" s="15">
        <v>3</v>
      </c>
      <c r="C153" s="23">
        <f t="shared" si="79"/>
        <v>1003</v>
      </c>
      <c r="D153" s="24">
        <v>2.5</v>
      </c>
      <c r="E153" s="25">
        <v>40</v>
      </c>
      <c r="F153" s="29">
        <v>2.875</v>
      </c>
      <c r="G153" s="29">
        <v>0.203</v>
      </c>
      <c r="H153" s="27">
        <f t="shared" si="74"/>
        <v>2.469</v>
      </c>
      <c r="I153" s="27">
        <f t="shared" si="75"/>
        <v>1.704050120789562</v>
      </c>
      <c r="J153" s="26">
        <f t="shared" si="76"/>
        <v>4.787756573542471</v>
      </c>
      <c r="K153" s="28">
        <f t="shared" si="67"/>
        <v>5.79277524541397</v>
      </c>
      <c r="L153" s="60">
        <f t="shared" si="77"/>
        <v>2.0759794538216387</v>
      </c>
      <c r="M153" s="106">
        <f t="shared" si="78"/>
        <v>7.868754699235609</v>
      </c>
      <c r="N153" s="81">
        <f t="shared" si="63"/>
        <v>1.5295538973768548</v>
      </c>
      <c r="O153" s="81">
        <f t="shared" si="64"/>
        <v>1.0640374938273773</v>
      </c>
      <c r="P153" s="81">
        <f t="shared" si="66"/>
        <v>0.9474170808044363</v>
      </c>
    </row>
    <row r="154" spans="2:16" ht="11.25">
      <c r="B154" s="15">
        <v>4</v>
      </c>
      <c r="C154" s="23">
        <f t="shared" si="79"/>
        <v>1004</v>
      </c>
      <c r="D154" s="24">
        <v>2.5</v>
      </c>
      <c r="E154" s="25" t="s">
        <v>12</v>
      </c>
      <c r="F154" s="29">
        <v>2.875</v>
      </c>
      <c r="G154" s="29">
        <v>0.203</v>
      </c>
      <c r="H154" s="27">
        <f t="shared" si="74"/>
        <v>2.469</v>
      </c>
      <c r="I154" s="27">
        <f t="shared" si="75"/>
        <v>1.704050120789562</v>
      </c>
      <c r="J154" s="26">
        <f t="shared" si="76"/>
        <v>4.787756573542471</v>
      </c>
      <c r="K154" s="28">
        <f t="shared" si="67"/>
        <v>5.79277524541397</v>
      </c>
      <c r="L154" s="60">
        <f t="shared" si="77"/>
        <v>2.0759794538216387</v>
      </c>
      <c r="M154" s="106">
        <f t="shared" si="78"/>
        <v>7.868754699235609</v>
      </c>
      <c r="N154" s="81">
        <f t="shared" si="63"/>
        <v>1.5295538973768548</v>
      </c>
      <c r="O154" s="81">
        <f t="shared" si="64"/>
        <v>1.0640374938273773</v>
      </c>
      <c r="P154" s="81">
        <f t="shared" si="66"/>
        <v>0.9474170808044363</v>
      </c>
    </row>
    <row r="155" spans="2:16" ht="11.25">
      <c r="B155" s="15">
        <v>5</v>
      </c>
      <c r="C155" s="23">
        <f t="shared" si="79"/>
        <v>1005</v>
      </c>
      <c r="D155" s="24">
        <v>2.5</v>
      </c>
      <c r="E155" s="25" t="s">
        <v>0</v>
      </c>
      <c r="F155" s="29">
        <v>2.875</v>
      </c>
      <c r="G155" s="29">
        <v>0.203</v>
      </c>
      <c r="H155" s="27">
        <f t="shared" si="74"/>
        <v>2.469</v>
      </c>
      <c r="I155" s="27">
        <f t="shared" si="75"/>
        <v>1.704050120789562</v>
      </c>
      <c r="J155" s="26">
        <f t="shared" si="76"/>
        <v>4.787756573542471</v>
      </c>
      <c r="K155" s="28">
        <f t="shared" si="67"/>
        <v>5.79277524541397</v>
      </c>
      <c r="L155" s="60">
        <f t="shared" si="77"/>
        <v>2.0759794538216387</v>
      </c>
      <c r="M155" s="106">
        <f t="shared" si="78"/>
        <v>7.868754699235609</v>
      </c>
      <c r="N155" s="81">
        <f t="shared" si="63"/>
        <v>1.5295538973768548</v>
      </c>
      <c r="O155" s="81">
        <f t="shared" si="64"/>
        <v>1.0640374938273773</v>
      </c>
      <c r="P155" s="81">
        <f t="shared" si="66"/>
        <v>0.9474170808044363</v>
      </c>
    </row>
    <row r="156" spans="2:16" ht="11.25">
      <c r="B156" s="15">
        <v>6</v>
      </c>
      <c r="C156" s="23">
        <f t="shared" si="79"/>
        <v>1006</v>
      </c>
      <c r="D156" s="24">
        <v>2.5</v>
      </c>
      <c r="E156" s="25">
        <v>80</v>
      </c>
      <c r="F156" s="29">
        <v>2.875</v>
      </c>
      <c r="G156" s="29">
        <v>0.276</v>
      </c>
      <c r="H156" s="27">
        <f t="shared" si="74"/>
        <v>2.323</v>
      </c>
      <c r="I156" s="27">
        <f t="shared" si="75"/>
        <v>2.253539808643645</v>
      </c>
      <c r="J156" s="26">
        <f t="shared" si="76"/>
        <v>4.238266885688389</v>
      </c>
      <c r="K156" s="28">
        <f t="shared" si="67"/>
        <v>7.660719282140144</v>
      </c>
      <c r="L156" s="60">
        <f t="shared" si="77"/>
        <v>1.837719783650498</v>
      </c>
      <c r="M156" s="106">
        <f t="shared" si="78"/>
        <v>9.498439065790642</v>
      </c>
      <c r="N156" s="81">
        <f t="shared" si="63"/>
        <v>1.9242348251786423</v>
      </c>
      <c r="O156" s="81">
        <f t="shared" si="64"/>
        <v>1.3385981392547077</v>
      </c>
      <c r="P156" s="81">
        <f t="shared" si="66"/>
        <v>0.9240520142286364</v>
      </c>
    </row>
    <row r="157" spans="2:16" ht="11.25">
      <c r="B157" s="15">
        <v>7</v>
      </c>
      <c r="C157" s="23">
        <f t="shared" si="79"/>
        <v>1007</v>
      </c>
      <c r="D157" s="24">
        <v>2.5</v>
      </c>
      <c r="E157" s="25" t="s">
        <v>13</v>
      </c>
      <c r="F157" s="29">
        <v>2.875</v>
      </c>
      <c r="G157" s="29">
        <v>0.276</v>
      </c>
      <c r="H157" s="27">
        <f t="shared" si="74"/>
        <v>2.323</v>
      </c>
      <c r="I157" s="27">
        <f t="shared" si="75"/>
        <v>2.253539808643645</v>
      </c>
      <c r="J157" s="26">
        <f t="shared" si="76"/>
        <v>4.238266885688389</v>
      </c>
      <c r="K157" s="28">
        <f t="shared" si="67"/>
        <v>7.660719282140144</v>
      </c>
      <c r="L157" s="60">
        <f t="shared" si="77"/>
        <v>1.837719783650498</v>
      </c>
      <c r="M157" s="106">
        <f t="shared" si="78"/>
        <v>9.498439065790642</v>
      </c>
      <c r="N157" s="81">
        <f t="shared" si="63"/>
        <v>1.9242348251786423</v>
      </c>
      <c r="O157" s="81">
        <f t="shared" si="64"/>
        <v>1.3385981392547077</v>
      </c>
      <c r="P157" s="81">
        <f t="shared" si="66"/>
        <v>0.9240520142286364</v>
      </c>
    </row>
    <row r="158" spans="2:16" ht="11.25">
      <c r="B158" s="15">
        <v>8</v>
      </c>
      <c r="C158" s="23">
        <f t="shared" si="79"/>
        <v>1008</v>
      </c>
      <c r="D158" s="24">
        <v>2.5</v>
      </c>
      <c r="E158" s="25" t="s">
        <v>1</v>
      </c>
      <c r="F158" s="29">
        <v>2.875</v>
      </c>
      <c r="G158" s="29">
        <v>0.276</v>
      </c>
      <c r="H158" s="27">
        <f t="shared" si="74"/>
        <v>2.323</v>
      </c>
      <c r="I158" s="27">
        <f t="shared" si="75"/>
        <v>2.253539808643645</v>
      </c>
      <c r="J158" s="26">
        <f t="shared" si="76"/>
        <v>4.238266885688389</v>
      </c>
      <c r="K158" s="28">
        <f t="shared" si="67"/>
        <v>7.660719282140144</v>
      </c>
      <c r="L158" s="60">
        <f t="shared" si="77"/>
        <v>1.837719783650498</v>
      </c>
      <c r="M158" s="106">
        <f t="shared" si="78"/>
        <v>9.498439065790642</v>
      </c>
      <c r="N158" s="81">
        <f t="shared" si="63"/>
        <v>1.9242348251786423</v>
      </c>
      <c r="O158" s="81">
        <f t="shared" si="64"/>
        <v>1.3385981392547077</v>
      </c>
      <c r="P158" s="81">
        <f t="shared" si="66"/>
        <v>0.9240520142286364</v>
      </c>
    </row>
    <row r="159" spans="2:16" ht="11.25">
      <c r="B159" s="15">
        <v>9</v>
      </c>
      <c r="C159" s="23">
        <f t="shared" si="79"/>
        <v>1009</v>
      </c>
      <c r="D159" s="24">
        <v>2.5</v>
      </c>
      <c r="E159" s="25">
        <v>160</v>
      </c>
      <c r="F159" s="29">
        <v>2.875</v>
      </c>
      <c r="G159" s="29">
        <v>0.375</v>
      </c>
      <c r="H159" s="27">
        <f t="shared" si="74"/>
        <v>2.125</v>
      </c>
      <c r="I159" s="27">
        <f t="shared" si="75"/>
        <v>2.945243112740431</v>
      </c>
      <c r="J159" s="26">
        <f t="shared" si="76"/>
        <v>3.5465635815916023</v>
      </c>
      <c r="K159" s="28">
        <f t="shared" si="67"/>
        <v>10.012106561339625</v>
      </c>
      <c r="L159" s="60">
        <f t="shared" si="77"/>
        <v>1.5377960458020221</v>
      </c>
      <c r="M159" s="105">
        <f t="shared" si="78"/>
        <v>11.549902607141647</v>
      </c>
      <c r="N159" s="81">
        <f t="shared" si="63"/>
        <v>2.352743033419602</v>
      </c>
      <c r="O159" s="81">
        <f t="shared" si="64"/>
        <v>1.6366908058571144</v>
      </c>
      <c r="P159" s="81">
        <f t="shared" si="66"/>
        <v>0.8937718528796932</v>
      </c>
    </row>
    <row r="160" spans="2:16" ht="11.25">
      <c r="B160" s="15">
        <v>10</v>
      </c>
      <c r="C160" s="23">
        <f t="shared" si="79"/>
        <v>1010</v>
      </c>
      <c r="D160" s="24">
        <v>2.5</v>
      </c>
      <c r="E160" s="25" t="s">
        <v>2</v>
      </c>
      <c r="F160" s="29">
        <v>2.875</v>
      </c>
      <c r="G160" s="29">
        <v>0.552</v>
      </c>
      <c r="H160" s="27">
        <f t="shared" si="74"/>
        <v>1.771</v>
      </c>
      <c r="I160" s="27">
        <f t="shared" si="75"/>
        <v>4.028451693327578</v>
      </c>
      <c r="J160" s="26">
        <f t="shared" si="76"/>
        <v>2.4633550010044556</v>
      </c>
      <c r="K160" s="28">
        <f t="shared" si="67"/>
        <v>13.694383141524861</v>
      </c>
      <c r="L160" s="60">
        <f t="shared" si="77"/>
        <v>1.0681149492465247</v>
      </c>
      <c r="M160" s="105">
        <f t="shared" si="78"/>
        <v>14.762498090771386</v>
      </c>
      <c r="N160" s="81">
        <f t="shared" si="63"/>
        <v>2.8707920053208</v>
      </c>
      <c r="O160" s="81">
        <f t="shared" si="64"/>
        <v>1.9970726993536</v>
      </c>
      <c r="P160" s="81">
        <f t="shared" si="66"/>
        <v>0.8441736343904611</v>
      </c>
    </row>
    <row r="161" spans="2:16" ht="11.25" hidden="1">
      <c r="B161" s="15">
        <v>11</v>
      </c>
      <c r="C161" s="23">
        <f t="shared" si="79"/>
        <v>1011</v>
      </c>
      <c r="D161" s="24"/>
      <c r="E161" s="25"/>
      <c r="F161" s="29"/>
      <c r="G161" s="29"/>
      <c r="H161" s="27"/>
      <c r="I161" s="27"/>
      <c r="J161" s="26"/>
      <c r="K161" s="28"/>
      <c r="L161" s="79"/>
      <c r="M161" s="60"/>
      <c r="N161" s="81"/>
      <c r="O161" s="81"/>
      <c r="P161" s="81"/>
    </row>
    <row r="162" spans="2:16" ht="11.25" hidden="1">
      <c r="B162" s="15">
        <v>12</v>
      </c>
      <c r="C162" s="23">
        <f t="shared" si="79"/>
        <v>1012</v>
      </c>
      <c r="D162" s="24"/>
      <c r="E162" s="25"/>
      <c r="F162" s="29"/>
      <c r="G162" s="29"/>
      <c r="H162" s="27"/>
      <c r="I162" s="27"/>
      <c r="J162" s="26"/>
      <c r="K162" s="28"/>
      <c r="L162" s="79"/>
      <c r="M162" s="60"/>
      <c r="N162" s="81"/>
      <c r="O162" s="81"/>
      <c r="P162" s="81"/>
    </row>
    <row r="163" spans="2:16" ht="11.25" hidden="1">
      <c r="B163" s="15">
        <v>13</v>
      </c>
      <c r="C163" s="23">
        <f t="shared" si="79"/>
        <v>1013</v>
      </c>
      <c r="D163" s="24"/>
      <c r="E163" s="25"/>
      <c r="F163" s="29"/>
      <c r="G163" s="29"/>
      <c r="H163" s="27"/>
      <c r="I163" s="27"/>
      <c r="J163" s="26"/>
      <c r="K163" s="28"/>
      <c r="L163" s="79"/>
      <c r="M163" s="60"/>
      <c r="N163" s="81"/>
      <c r="O163" s="81"/>
      <c r="P163" s="81"/>
    </row>
    <row r="164" spans="2:16" ht="11.25" hidden="1">
      <c r="B164" s="15">
        <v>14</v>
      </c>
      <c r="C164" s="23">
        <f t="shared" si="79"/>
        <v>1014</v>
      </c>
      <c r="D164" s="24"/>
      <c r="E164" s="25"/>
      <c r="F164" s="29"/>
      <c r="G164" s="29"/>
      <c r="H164" s="27"/>
      <c r="I164" s="27"/>
      <c r="J164" s="26"/>
      <c r="K164" s="28"/>
      <c r="L164" s="79"/>
      <c r="M164" s="60"/>
      <c r="N164" s="81"/>
      <c r="O164" s="81"/>
      <c r="P164" s="81"/>
    </row>
    <row r="165" spans="2:16" ht="11.25" hidden="1">
      <c r="B165" s="15">
        <v>15</v>
      </c>
      <c r="C165" s="23">
        <f t="shared" si="79"/>
        <v>1015</v>
      </c>
      <c r="D165" s="24"/>
      <c r="E165" s="25"/>
      <c r="F165" s="29"/>
      <c r="G165" s="29"/>
      <c r="H165" s="27"/>
      <c r="I165" s="27"/>
      <c r="J165" s="26"/>
      <c r="K165" s="28"/>
      <c r="L165" s="79"/>
      <c r="M165" s="60"/>
      <c r="N165" s="81"/>
      <c r="O165" s="81"/>
      <c r="P165" s="81"/>
    </row>
    <row r="166" spans="2:16" ht="11.25" hidden="1">
      <c r="B166" s="15">
        <v>16</v>
      </c>
      <c r="C166" s="23">
        <f t="shared" si="79"/>
        <v>1016</v>
      </c>
      <c r="D166" s="24"/>
      <c r="E166" s="25"/>
      <c r="F166" s="29"/>
      <c r="G166" s="29"/>
      <c r="H166" s="27"/>
      <c r="I166" s="27"/>
      <c r="J166" s="26"/>
      <c r="K166" s="28"/>
      <c r="L166" s="79"/>
      <c r="M166" s="60"/>
      <c r="N166" s="81"/>
      <c r="O166" s="81"/>
      <c r="P166" s="81"/>
    </row>
    <row r="167" spans="1:16" ht="11.25">
      <c r="A167" s="23">
        <v>11</v>
      </c>
      <c r="B167" s="15">
        <v>1</v>
      </c>
      <c r="C167" s="23">
        <f>$A$167*100+B167</f>
        <v>1101</v>
      </c>
      <c r="D167" s="24">
        <v>3</v>
      </c>
      <c r="E167" s="25" t="s">
        <v>10</v>
      </c>
      <c r="F167" s="29">
        <v>3.5</v>
      </c>
      <c r="G167" s="29">
        <v>0.083</v>
      </c>
      <c r="H167" s="27">
        <f aca="true" t="shared" si="80" ref="H167:H176">F167-2*G167</f>
        <v>3.334</v>
      </c>
      <c r="I167" s="27">
        <f aca="true" t="shared" si="81" ref="I167:I176">PI()*(F167^2-H167^2)/4</f>
        <v>0.890990234077255</v>
      </c>
      <c r="J167" s="26">
        <f aca="true" t="shared" si="82" ref="J167:J176">PI()*H167^2/4</f>
        <v>8.730137267541487</v>
      </c>
      <c r="K167" s="28">
        <f t="shared" si="67"/>
        <v>3.0288464575659657</v>
      </c>
      <c r="L167" s="60">
        <f aca="true" t="shared" si="83" ref="L167:L176">$J167*0.254^3*2.205*12</f>
        <v>3.7854024777723887</v>
      </c>
      <c r="M167" s="106">
        <f aca="true" t="shared" si="84" ref="M167:M176">K167+L167</f>
        <v>6.814248935338354</v>
      </c>
      <c r="N167" s="81">
        <f t="shared" si="63"/>
        <v>1.3011551381115756</v>
      </c>
      <c r="O167" s="81">
        <f t="shared" si="64"/>
        <v>0.7435172217780431</v>
      </c>
      <c r="P167" s="81">
        <f t="shared" si="66"/>
        <v>1.208448281888803</v>
      </c>
    </row>
    <row r="168" spans="2:16" ht="11.25">
      <c r="B168" s="15">
        <v>2</v>
      </c>
      <c r="C168" s="23">
        <f aca="true" t="shared" si="85" ref="C168:C182">$A$167*100+B168</f>
        <v>1102</v>
      </c>
      <c r="D168" s="24">
        <v>3</v>
      </c>
      <c r="E168" s="25" t="s">
        <v>11</v>
      </c>
      <c r="F168" s="29">
        <v>3.5</v>
      </c>
      <c r="G168" s="29">
        <v>0.12</v>
      </c>
      <c r="H168" s="27">
        <f t="shared" si="80"/>
        <v>3.26</v>
      </c>
      <c r="I168" s="27">
        <f t="shared" si="81"/>
        <v>1.2742299802960206</v>
      </c>
      <c r="J168" s="26">
        <f t="shared" si="82"/>
        <v>8.34689752132272</v>
      </c>
      <c r="K168" s="28">
        <f t="shared" si="67"/>
        <v>4.331637782697977</v>
      </c>
      <c r="L168" s="60">
        <f t="shared" si="83"/>
        <v>3.6192290671536202</v>
      </c>
      <c r="M168" s="106">
        <f t="shared" si="84"/>
        <v>7.9508668498515975</v>
      </c>
      <c r="N168" s="81">
        <f t="shared" si="63"/>
        <v>1.8219577373262654</v>
      </c>
      <c r="O168" s="81">
        <f t="shared" si="64"/>
        <v>1.0411187070435803</v>
      </c>
      <c r="P168" s="81">
        <f t="shared" si="66"/>
        <v>1.1957633545145965</v>
      </c>
    </row>
    <row r="169" spans="2:16" ht="11.25">
      <c r="B169" s="15">
        <v>3</v>
      </c>
      <c r="C169" s="23">
        <f t="shared" si="85"/>
        <v>1103</v>
      </c>
      <c r="D169" s="24">
        <v>3</v>
      </c>
      <c r="E169" s="25">
        <v>40</v>
      </c>
      <c r="F169" s="29">
        <v>3.5</v>
      </c>
      <c r="G169" s="29">
        <v>0.216</v>
      </c>
      <c r="H169" s="27">
        <f t="shared" si="80"/>
        <v>3.068</v>
      </c>
      <c r="I169" s="27">
        <f t="shared" si="81"/>
        <v>2.2284698992679974</v>
      </c>
      <c r="J169" s="26">
        <f t="shared" si="82"/>
        <v>7.392657602350744</v>
      </c>
      <c r="K169" s="28">
        <f t="shared" si="67"/>
        <v>7.5754962310900185</v>
      </c>
      <c r="L169" s="60">
        <f t="shared" si="83"/>
        <v>3.205469003254525</v>
      </c>
      <c r="M169" s="105">
        <f t="shared" si="84"/>
        <v>10.780965234344544</v>
      </c>
      <c r="N169" s="81">
        <f t="shared" si="63"/>
        <v>3.0171565951975317</v>
      </c>
      <c r="O169" s="81">
        <f t="shared" si="64"/>
        <v>1.7240894829700182</v>
      </c>
      <c r="P169" s="81">
        <f t="shared" si="66"/>
        <v>1.1635781022346545</v>
      </c>
    </row>
    <row r="170" spans="2:16" ht="11.25">
      <c r="B170" s="15">
        <v>4</v>
      </c>
      <c r="C170" s="23">
        <f t="shared" si="85"/>
        <v>1104</v>
      </c>
      <c r="D170" s="24">
        <v>3</v>
      </c>
      <c r="E170" s="25" t="s">
        <v>12</v>
      </c>
      <c r="F170" s="29">
        <v>3.5</v>
      </c>
      <c r="G170" s="29">
        <v>0.216</v>
      </c>
      <c r="H170" s="27">
        <f t="shared" si="80"/>
        <v>3.068</v>
      </c>
      <c r="I170" s="27">
        <f t="shared" si="81"/>
        <v>2.2284698992679974</v>
      </c>
      <c r="J170" s="26">
        <f t="shared" si="82"/>
        <v>7.392657602350744</v>
      </c>
      <c r="K170" s="28">
        <f t="shared" si="67"/>
        <v>7.5754962310900185</v>
      </c>
      <c r="L170" s="60">
        <f t="shared" si="83"/>
        <v>3.205469003254525</v>
      </c>
      <c r="M170" s="105">
        <f t="shared" si="84"/>
        <v>10.780965234344544</v>
      </c>
      <c r="N170" s="81">
        <f t="shared" si="63"/>
        <v>3.0171565951975317</v>
      </c>
      <c r="O170" s="81">
        <f t="shared" si="64"/>
        <v>1.7240894829700182</v>
      </c>
      <c r="P170" s="81">
        <f t="shared" si="66"/>
        <v>1.1635781022346545</v>
      </c>
    </row>
    <row r="171" spans="2:16" ht="11.25">
      <c r="B171" s="15">
        <v>5</v>
      </c>
      <c r="C171" s="23">
        <f t="shared" si="85"/>
        <v>1105</v>
      </c>
      <c r="D171" s="24">
        <v>3</v>
      </c>
      <c r="E171" s="25" t="s">
        <v>0</v>
      </c>
      <c r="F171" s="29">
        <v>3.5</v>
      </c>
      <c r="G171" s="29">
        <v>0.216</v>
      </c>
      <c r="H171" s="27">
        <f t="shared" si="80"/>
        <v>3.068</v>
      </c>
      <c r="I171" s="27">
        <f t="shared" si="81"/>
        <v>2.2284698992679974</v>
      </c>
      <c r="J171" s="26">
        <f t="shared" si="82"/>
        <v>7.392657602350744</v>
      </c>
      <c r="K171" s="28">
        <f t="shared" si="67"/>
        <v>7.5754962310900185</v>
      </c>
      <c r="L171" s="60">
        <f t="shared" si="83"/>
        <v>3.205469003254525</v>
      </c>
      <c r="M171" s="105">
        <f t="shared" si="84"/>
        <v>10.780965234344544</v>
      </c>
      <c r="N171" s="81">
        <f t="shared" si="63"/>
        <v>3.0171565951975317</v>
      </c>
      <c r="O171" s="81">
        <f t="shared" si="64"/>
        <v>1.7240894829700182</v>
      </c>
      <c r="P171" s="81">
        <f t="shared" si="66"/>
        <v>1.1635781022346545</v>
      </c>
    </row>
    <row r="172" spans="2:16" ht="11.25">
      <c r="B172" s="15">
        <v>6</v>
      </c>
      <c r="C172" s="23">
        <f t="shared" si="85"/>
        <v>1106</v>
      </c>
      <c r="D172" s="24">
        <v>3</v>
      </c>
      <c r="E172" s="25">
        <v>80</v>
      </c>
      <c r="F172" s="29">
        <v>3.5</v>
      </c>
      <c r="G172" s="29">
        <v>0.3</v>
      </c>
      <c r="H172" s="27">
        <f t="shared" si="80"/>
        <v>2.9</v>
      </c>
      <c r="I172" s="27">
        <f t="shared" si="81"/>
        <v>3.015928947446201</v>
      </c>
      <c r="J172" s="26">
        <f t="shared" si="82"/>
        <v>6.60519855417254</v>
      </c>
      <c r="K172" s="28">
        <f t="shared" si="67"/>
        <v>10.252397118811775</v>
      </c>
      <c r="L172" s="60">
        <f t="shared" si="83"/>
        <v>2.8640254107006244</v>
      </c>
      <c r="M172" s="105">
        <f t="shared" si="84"/>
        <v>13.116422529512398</v>
      </c>
      <c r="N172" s="81">
        <f t="shared" si="63"/>
        <v>3.8943182533899074</v>
      </c>
      <c r="O172" s="81">
        <f t="shared" si="64"/>
        <v>2.2253247162228043</v>
      </c>
      <c r="P172" s="81">
        <f t="shared" si="66"/>
        <v>1.136331817736351</v>
      </c>
    </row>
    <row r="173" spans="2:16" ht="11.25">
      <c r="B173" s="15">
        <v>7</v>
      </c>
      <c r="C173" s="23">
        <f t="shared" si="85"/>
        <v>1107</v>
      </c>
      <c r="D173" s="24">
        <v>3</v>
      </c>
      <c r="E173" s="25" t="s">
        <v>13</v>
      </c>
      <c r="F173" s="29">
        <v>3.5</v>
      </c>
      <c r="G173" s="29">
        <v>0.3</v>
      </c>
      <c r="H173" s="27">
        <f t="shared" si="80"/>
        <v>2.9</v>
      </c>
      <c r="I173" s="27">
        <f t="shared" si="81"/>
        <v>3.015928947446201</v>
      </c>
      <c r="J173" s="26">
        <f t="shared" si="82"/>
        <v>6.60519855417254</v>
      </c>
      <c r="K173" s="28">
        <f t="shared" si="67"/>
        <v>10.252397118811775</v>
      </c>
      <c r="L173" s="60">
        <f t="shared" si="83"/>
        <v>2.8640254107006244</v>
      </c>
      <c r="M173" s="105">
        <f t="shared" si="84"/>
        <v>13.116422529512398</v>
      </c>
      <c r="N173" s="81">
        <f t="shared" si="63"/>
        <v>3.8943182533899074</v>
      </c>
      <c r="O173" s="81">
        <f t="shared" si="64"/>
        <v>2.2253247162228043</v>
      </c>
      <c r="P173" s="81">
        <f t="shared" si="66"/>
        <v>1.136331817736351</v>
      </c>
    </row>
    <row r="174" spans="2:16" ht="11.25">
      <c r="B174" s="15">
        <v>8</v>
      </c>
      <c r="C174" s="23">
        <f t="shared" si="85"/>
        <v>1108</v>
      </c>
      <c r="D174" s="24">
        <v>3</v>
      </c>
      <c r="E174" s="25" t="s">
        <v>1</v>
      </c>
      <c r="F174" s="29">
        <v>3.5</v>
      </c>
      <c r="G174" s="29">
        <v>0.3</v>
      </c>
      <c r="H174" s="27">
        <f t="shared" si="80"/>
        <v>2.9</v>
      </c>
      <c r="I174" s="27">
        <f t="shared" si="81"/>
        <v>3.015928947446201</v>
      </c>
      <c r="J174" s="26">
        <f t="shared" si="82"/>
        <v>6.60519855417254</v>
      </c>
      <c r="K174" s="28">
        <f t="shared" si="67"/>
        <v>10.252397118811775</v>
      </c>
      <c r="L174" s="60">
        <f t="shared" si="83"/>
        <v>2.8640254107006244</v>
      </c>
      <c r="M174" s="105">
        <f t="shared" si="84"/>
        <v>13.116422529512398</v>
      </c>
      <c r="N174" s="81">
        <f t="shared" si="63"/>
        <v>3.8943182533899074</v>
      </c>
      <c r="O174" s="81">
        <f t="shared" si="64"/>
        <v>2.2253247162228043</v>
      </c>
      <c r="P174" s="81">
        <f t="shared" si="66"/>
        <v>1.136331817736351</v>
      </c>
    </row>
    <row r="175" spans="2:16" ht="11.25">
      <c r="B175" s="15">
        <v>9</v>
      </c>
      <c r="C175" s="23">
        <f t="shared" si="85"/>
        <v>1109</v>
      </c>
      <c r="D175" s="24">
        <v>3</v>
      </c>
      <c r="E175" s="25">
        <v>160</v>
      </c>
      <c r="F175" s="29">
        <v>3.5</v>
      </c>
      <c r="G175" s="29">
        <v>0.438</v>
      </c>
      <c r="H175" s="27">
        <f t="shared" si="80"/>
        <v>2.624</v>
      </c>
      <c r="I175" s="27">
        <f t="shared" si="81"/>
        <v>4.213365836917872</v>
      </c>
      <c r="J175" s="26">
        <f t="shared" si="82"/>
        <v>5.407761664700869</v>
      </c>
      <c r="K175" s="28">
        <f t="shared" si="67"/>
        <v>14.322983239872006</v>
      </c>
      <c r="L175" s="60">
        <f t="shared" si="83"/>
        <v>2.3448147236894434</v>
      </c>
      <c r="M175" s="105">
        <f t="shared" si="84"/>
        <v>16.667797963561448</v>
      </c>
      <c r="N175" s="81">
        <f t="shared" si="63"/>
        <v>5.039021219686135</v>
      </c>
      <c r="O175" s="81">
        <f t="shared" si="64"/>
        <v>2.879440696963506</v>
      </c>
      <c r="P175" s="81">
        <f t="shared" si="66"/>
        <v>1.0936000182882222</v>
      </c>
    </row>
    <row r="176" spans="2:16" ht="11.25">
      <c r="B176" s="15">
        <v>10</v>
      </c>
      <c r="C176" s="23">
        <f t="shared" si="85"/>
        <v>1110</v>
      </c>
      <c r="D176" s="24">
        <v>3</v>
      </c>
      <c r="E176" s="25" t="s">
        <v>2</v>
      </c>
      <c r="F176" s="29">
        <v>3.5</v>
      </c>
      <c r="G176" s="29">
        <v>0.6</v>
      </c>
      <c r="H176" s="27">
        <f t="shared" si="80"/>
        <v>2.3</v>
      </c>
      <c r="I176" s="27">
        <f t="shared" si="81"/>
        <v>5.466371217246241</v>
      </c>
      <c r="J176" s="26">
        <f t="shared" si="82"/>
        <v>4.1547562843725006</v>
      </c>
      <c r="K176" s="28">
        <f t="shared" si="67"/>
        <v>18.58246977784635</v>
      </c>
      <c r="L176" s="60">
        <f t="shared" si="83"/>
        <v>1.801509443829524</v>
      </c>
      <c r="M176" s="105">
        <f t="shared" si="84"/>
        <v>20.383979221675872</v>
      </c>
      <c r="N176" s="81">
        <f t="shared" si="63"/>
        <v>5.992509446906191</v>
      </c>
      <c r="O176" s="81">
        <f t="shared" si="64"/>
        <v>3.4242911125178237</v>
      </c>
      <c r="P176" s="81">
        <f t="shared" si="66"/>
        <v>1.0470195795685961</v>
      </c>
    </row>
    <row r="177" spans="2:16" ht="11.25" hidden="1">
      <c r="B177" s="15">
        <v>11</v>
      </c>
      <c r="C177" s="23">
        <f t="shared" si="85"/>
        <v>1111</v>
      </c>
      <c r="D177" s="24"/>
      <c r="E177" s="25"/>
      <c r="F177" s="29"/>
      <c r="G177" s="29"/>
      <c r="H177" s="27"/>
      <c r="I177" s="27"/>
      <c r="J177" s="26"/>
      <c r="K177" s="28"/>
      <c r="L177" s="79"/>
      <c r="M177" s="60"/>
      <c r="N177" s="81"/>
      <c r="O177" s="81"/>
      <c r="P177" s="81"/>
    </row>
    <row r="178" spans="2:16" ht="11.25" hidden="1">
      <c r="B178" s="15">
        <v>12</v>
      </c>
      <c r="C178" s="23">
        <f t="shared" si="85"/>
        <v>1112</v>
      </c>
      <c r="D178" s="24"/>
      <c r="E178" s="25"/>
      <c r="F178" s="29"/>
      <c r="G178" s="29"/>
      <c r="H178" s="27"/>
      <c r="I178" s="27"/>
      <c r="J178" s="26"/>
      <c r="K178" s="28"/>
      <c r="L178" s="79"/>
      <c r="M178" s="60"/>
      <c r="N178" s="81"/>
      <c r="O178" s="81"/>
      <c r="P178" s="81"/>
    </row>
    <row r="179" spans="2:16" ht="11.25" hidden="1">
      <c r="B179" s="15">
        <v>13</v>
      </c>
      <c r="C179" s="23">
        <f t="shared" si="85"/>
        <v>1113</v>
      </c>
      <c r="D179" s="24"/>
      <c r="E179" s="25"/>
      <c r="F179" s="29"/>
      <c r="G179" s="29"/>
      <c r="H179" s="27"/>
      <c r="I179" s="27"/>
      <c r="J179" s="26"/>
      <c r="K179" s="28"/>
      <c r="L179" s="79"/>
      <c r="M179" s="60"/>
      <c r="N179" s="81"/>
      <c r="O179" s="81"/>
      <c r="P179" s="81"/>
    </row>
    <row r="180" spans="2:16" ht="11.25" hidden="1">
      <c r="B180" s="15">
        <v>14</v>
      </c>
      <c r="C180" s="23">
        <f t="shared" si="85"/>
        <v>1114</v>
      </c>
      <c r="D180" s="24"/>
      <c r="E180" s="25"/>
      <c r="F180" s="29"/>
      <c r="G180" s="29"/>
      <c r="H180" s="27"/>
      <c r="I180" s="27"/>
      <c r="J180" s="26"/>
      <c r="K180" s="28"/>
      <c r="L180" s="79"/>
      <c r="M180" s="60"/>
      <c r="N180" s="81"/>
      <c r="O180" s="81"/>
      <c r="P180" s="81"/>
    </row>
    <row r="181" spans="2:16" ht="11.25" hidden="1">
      <c r="B181" s="15">
        <v>15</v>
      </c>
      <c r="C181" s="23">
        <f t="shared" si="85"/>
        <v>1115</v>
      </c>
      <c r="D181" s="24"/>
      <c r="E181" s="25"/>
      <c r="F181" s="29"/>
      <c r="G181" s="29"/>
      <c r="H181" s="27"/>
      <c r="I181" s="27"/>
      <c r="J181" s="26"/>
      <c r="K181" s="28"/>
      <c r="L181" s="79"/>
      <c r="M181" s="60"/>
      <c r="N181" s="81"/>
      <c r="O181" s="81"/>
      <c r="P181" s="81"/>
    </row>
    <row r="182" spans="2:16" ht="11.25" hidden="1">
      <c r="B182" s="15">
        <v>16</v>
      </c>
      <c r="C182" s="23">
        <f t="shared" si="85"/>
        <v>1116</v>
      </c>
      <c r="D182" s="24"/>
      <c r="E182" s="25"/>
      <c r="F182" s="29"/>
      <c r="G182" s="29"/>
      <c r="H182" s="27"/>
      <c r="I182" s="27"/>
      <c r="J182" s="26"/>
      <c r="K182" s="28"/>
      <c r="L182" s="79"/>
      <c r="M182" s="60"/>
      <c r="N182" s="81"/>
      <c r="O182" s="81"/>
      <c r="P182" s="81"/>
    </row>
    <row r="183" spans="1:16" ht="11.25">
      <c r="A183" s="23">
        <v>12</v>
      </c>
      <c r="B183" s="15">
        <v>1</v>
      </c>
      <c r="C183" s="23">
        <f>$A$183*100+B183</f>
        <v>1201</v>
      </c>
      <c r="D183" s="24">
        <v>3.5</v>
      </c>
      <c r="E183" s="25" t="s">
        <v>10</v>
      </c>
      <c r="F183" s="29">
        <v>4</v>
      </c>
      <c r="G183" s="29">
        <v>0.083</v>
      </c>
      <c r="H183" s="27">
        <f aca="true" t="shared" si="86" ref="H183:H190">F183-2*G183</f>
        <v>3.834</v>
      </c>
      <c r="I183" s="27">
        <f aca="true" t="shared" si="87" ref="I183:I190">PI()*(F183^2-H183^2)/4</f>
        <v>1.0213663292012303</v>
      </c>
      <c r="J183" s="26">
        <f aca="true" t="shared" si="88" ref="J183:J190">PI()*H183^2/4</f>
        <v>11.545004285157942</v>
      </c>
      <c r="K183" s="28">
        <f t="shared" si="67"/>
        <v>3.4720490413479292</v>
      </c>
      <c r="L183" s="60">
        <f aca="true" t="shared" si="89" ref="L183:L190">$J183*0.254^3*2.205*12</f>
        <v>5.005933639716626</v>
      </c>
      <c r="M183" s="106">
        <f aca="true" t="shared" si="90" ref="M183:M190">K183+L183</f>
        <v>8.477982681064555</v>
      </c>
      <c r="N183" s="81">
        <f t="shared" si="63"/>
        <v>1.959718301239225</v>
      </c>
      <c r="O183" s="81">
        <f t="shared" si="64"/>
        <v>0.9798591506196125</v>
      </c>
      <c r="P183" s="81">
        <f t="shared" si="66"/>
        <v>1.3851795010033896</v>
      </c>
    </row>
    <row r="184" spans="2:16" ht="11.25">
      <c r="B184" s="15">
        <v>2</v>
      </c>
      <c r="C184" s="23">
        <f aca="true" t="shared" si="91" ref="C184:C198">$A$183*100+B184</f>
        <v>1202</v>
      </c>
      <c r="D184" s="24">
        <v>3.5</v>
      </c>
      <c r="E184" s="25" t="s">
        <v>11</v>
      </c>
      <c r="F184" s="29">
        <v>4</v>
      </c>
      <c r="G184" s="29">
        <v>0.12</v>
      </c>
      <c r="H184" s="27">
        <f t="shared" si="86"/>
        <v>3.76</v>
      </c>
      <c r="I184" s="27">
        <f t="shared" si="87"/>
        <v>1.4627255395114085</v>
      </c>
      <c r="J184" s="26">
        <f t="shared" si="88"/>
        <v>11.103645074847764</v>
      </c>
      <c r="K184" s="28">
        <f t="shared" si="67"/>
        <v>4.972412602623714</v>
      </c>
      <c r="L184" s="60">
        <f t="shared" si="89"/>
        <v>4.814559529883607</v>
      </c>
      <c r="M184" s="106">
        <f t="shared" si="90"/>
        <v>9.786972132507321</v>
      </c>
      <c r="N184" s="81">
        <f t="shared" si="63"/>
        <v>2.7551898262236882</v>
      </c>
      <c r="O184" s="81">
        <f t="shared" si="64"/>
        <v>1.3775949131118441</v>
      </c>
      <c r="P184" s="81">
        <f t="shared" si="66"/>
        <v>1.3724430771438207</v>
      </c>
    </row>
    <row r="185" spans="2:16" ht="11.25">
      <c r="B185" s="15">
        <v>3</v>
      </c>
      <c r="C185" s="23">
        <f t="shared" si="91"/>
        <v>1203</v>
      </c>
      <c r="D185" s="24">
        <v>3.5</v>
      </c>
      <c r="E185" s="25">
        <v>40</v>
      </c>
      <c r="F185" s="29">
        <v>4</v>
      </c>
      <c r="G185" s="29">
        <v>0.226</v>
      </c>
      <c r="H185" s="27">
        <f t="shared" si="86"/>
        <v>3.548</v>
      </c>
      <c r="I185" s="27">
        <f t="shared" si="87"/>
        <v>2.67953977247042</v>
      </c>
      <c r="J185" s="26">
        <f t="shared" si="88"/>
        <v>9.886830841888752</v>
      </c>
      <c r="K185" s="28">
        <f t="shared" si="67"/>
        <v>9.108870375172305</v>
      </c>
      <c r="L185" s="60">
        <f t="shared" si="89"/>
        <v>4.286946793534401</v>
      </c>
      <c r="M185" s="105">
        <f t="shared" si="90"/>
        <v>13.395817168706706</v>
      </c>
      <c r="N185" s="81">
        <f t="shared" si="63"/>
        <v>4.7877185997172</v>
      </c>
      <c r="O185" s="81">
        <f t="shared" si="64"/>
        <v>2.3938592998586</v>
      </c>
      <c r="P185" s="81">
        <f t="shared" si="66"/>
        <v>1.3367007892568927</v>
      </c>
    </row>
    <row r="186" spans="2:16" ht="11.25">
      <c r="B186" s="15">
        <v>4</v>
      </c>
      <c r="C186" s="23">
        <f t="shared" si="91"/>
        <v>1204</v>
      </c>
      <c r="D186" s="24">
        <v>3.5</v>
      </c>
      <c r="E186" s="25" t="s">
        <v>12</v>
      </c>
      <c r="F186" s="29">
        <v>4</v>
      </c>
      <c r="G186" s="29">
        <v>0.226</v>
      </c>
      <c r="H186" s="27">
        <f t="shared" si="86"/>
        <v>3.548</v>
      </c>
      <c r="I186" s="27">
        <f t="shared" si="87"/>
        <v>2.67953977247042</v>
      </c>
      <c r="J186" s="26">
        <f t="shared" si="88"/>
        <v>9.886830841888752</v>
      </c>
      <c r="K186" s="28">
        <f t="shared" si="67"/>
        <v>9.108870375172305</v>
      </c>
      <c r="L186" s="60">
        <f t="shared" si="89"/>
        <v>4.286946793534401</v>
      </c>
      <c r="M186" s="105">
        <f t="shared" si="90"/>
        <v>13.395817168706706</v>
      </c>
      <c r="N186" s="81">
        <f t="shared" si="63"/>
        <v>4.7877185997172</v>
      </c>
      <c r="O186" s="81">
        <f t="shared" si="64"/>
        <v>2.3938592998586</v>
      </c>
      <c r="P186" s="81">
        <f t="shared" si="66"/>
        <v>1.3367007892568927</v>
      </c>
    </row>
    <row r="187" spans="2:16" ht="11.25">
      <c r="B187" s="15">
        <v>5</v>
      </c>
      <c r="C187" s="23">
        <f t="shared" si="91"/>
        <v>1205</v>
      </c>
      <c r="D187" s="24">
        <v>3.5</v>
      </c>
      <c r="E187" s="25" t="s">
        <v>0</v>
      </c>
      <c r="F187" s="29">
        <v>4</v>
      </c>
      <c r="G187" s="29">
        <v>0.226</v>
      </c>
      <c r="H187" s="27">
        <f t="shared" si="86"/>
        <v>3.548</v>
      </c>
      <c r="I187" s="27">
        <f t="shared" si="87"/>
        <v>2.67953977247042</v>
      </c>
      <c r="J187" s="26">
        <f t="shared" si="88"/>
        <v>9.886830841888752</v>
      </c>
      <c r="K187" s="28">
        <f t="shared" si="67"/>
        <v>9.108870375172305</v>
      </c>
      <c r="L187" s="60">
        <f t="shared" si="89"/>
        <v>4.286946793534401</v>
      </c>
      <c r="M187" s="105">
        <f t="shared" si="90"/>
        <v>13.395817168706706</v>
      </c>
      <c r="N187" s="81">
        <f t="shared" si="63"/>
        <v>4.7877185997172</v>
      </c>
      <c r="O187" s="81">
        <f t="shared" si="64"/>
        <v>2.3938592998586</v>
      </c>
      <c r="P187" s="81">
        <f t="shared" si="66"/>
        <v>1.3367007892568927</v>
      </c>
    </row>
    <row r="188" spans="2:16" ht="11.25">
      <c r="B188" s="15">
        <v>6</v>
      </c>
      <c r="C188" s="23">
        <f t="shared" si="91"/>
        <v>1206</v>
      </c>
      <c r="D188" s="24">
        <v>3.5</v>
      </c>
      <c r="E188" s="25">
        <v>80</v>
      </c>
      <c r="F188" s="29">
        <v>4</v>
      </c>
      <c r="G188" s="29">
        <v>0.318</v>
      </c>
      <c r="H188" s="27">
        <f t="shared" si="86"/>
        <v>3.364</v>
      </c>
      <c r="I188" s="27">
        <f t="shared" si="87"/>
        <v>3.678415439864603</v>
      </c>
      <c r="J188" s="26">
        <f t="shared" si="88"/>
        <v>8.88795517449457</v>
      </c>
      <c r="K188" s="28">
        <f t="shared" si="67"/>
        <v>12.50446430092277</v>
      </c>
      <c r="L188" s="60">
        <f t="shared" si="89"/>
        <v>3.85383259263876</v>
      </c>
      <c r="M188" s="105">
        <f t="shared" si="90"/>
        <v>16.35829689356153</v>
      </c>
      <c r="N188" s="81">
        <f t="shared" si="63"/>
        <v>6.28008879058748</v>
      </c>
      <c r="O188" s="81">
        <f t="shared" si="64"/>
        <v>3.14004439529374</v>
      </c>
      <c r="P188" s="81">
        <f t="shared" si="66"/>
        <v>1.3066296338289591</v>
      </c>
    </row>
    <row r="189" spans="2:16" ht="11.25">
      <c r="B189" s="15">
        <v>7</v>
      </c>
      <c r="C189" s="23">
        <f t="shared" si="91"/>
        <v>1207</v>
      </c>
      <c r="D189" s="24">
        <v>3.5</v>
      </c>
      <c r="E189" s="25" t="s">
        <v>13</v>
      </c>
      <c r="F189" s="29">
        <v>4</v>
      </c>
      <c r="G189" s="29">
        <v>0.318</v>
      </c>
      <c r="H189" s="27">
        <f t="shared" si="86"/>
        <v>3.364</v>
      </c>
      <c r="I189" s="27">
        <f t="shared" si="87"/>
        <v>3.678415439864603</v>
      </c>
      <c r="J189" s="26">
        <f t="shared" si="88"/>
        <v>8.88795517449457</v>
      </c>
      <c r="K189" s="28">
        <f t="shared" si="67"/>
        <v>12.50446430092277</v>
      </c>
      <c r="L189" s="60">
        <f t="shared" si="89"/>
        <v>3.85383259263876</v>
      </c>
      <c r="M189" s="105">
        <f t="shared" si="90"/>
        <v>16.35829689356153</v>
      </c>
      <c r="N189" s="81">
        <f t="shared" si="63"/>
        <v>6.28008879058748</v>
      </c>
      <c r="O189" s="81">
        <f t="shared" si="64"/>
        <v>3.14004439529374</v>
      </c>
      <c r="P189" s="81">
        <f t="shared" si="66"/>
        <v>1.3066296338289591</v>
      </c>
    </row>
    <row r="190" spans="2:16" ht="11.25">
      <c r="B190" s="15">
        <v>8</v>
      </c>
      <c r="C190" s="23">
        <f t="shared" si="91"/>
        <v>1208</v>
      </c>
      <c r="D190" s="24">
        <v>3.5</v>
      </c>
      <c r="E190" s="25" t="s">
        <v>1</v>
      </c>
      <c r="F190" s="29">
        <v>4</v>
      </c>
      <c r="G190" s="29">
        <v>0.318</v>
      </c>
      <c r="H190" s="27">
        <f t="shared" si="86"/>
        <v>3.364</v>
      </c>
      <c r="I190" s="27">
        <f t="shared" si="87"/>
        <v>3.678415439864603</v>
      </c>
      <c r="J190" s="26">
        <f t="shared" si="88"/>
        <v>8.88795517449457</v>
      </c>
      <c r="K190" s="28">
        <f t="shared" si="67"/>
        <v>12.50446430092277</v>
      </c>
      <c r="L190" s="60">
        <f t="shared" si="89"/>
        <v>3.85383259263876</v>
      </c>
      <c r="M190" s="105">
        <f t="shared" si="90"/>
        <v>16.35829689356153</v>
      </c>
      <c r="N190" s="81">
        <f t="shared" si="63"/>
        <v>6.28008879058748</v>
      </c>
      <c r="O190" s="81">
        <f t="shared" si="64"/>
        <v>3.14004439529374</v>
      </c>
      <c r="P190" s="81">
        <f t="shared" si="66"/>
        <v>1.3066296338289591</v>
      </c>
    </row>
    <row r="191" spans="2:16" ht="11.25" hidden="1">
      <c r="B191" s="15">
        <v>9</v>
      </c>
      <c r="C191" s="23">
        <f t="shared" si="91"/>
        <v>1209</v>
      </c>
      <c r="D191" s="24"/>
      <c r="E191" s="25"/>
      <c r="F191" s="29"/>
      <c r="G191" s="29"/>
      <c r="H191" s="27"/>
      <c r="I191" s="27"/>
      <c r="J191" s="26"/>
      <c r="K191" s="28"/>
      <c r="L191" s="79"/>
      <c r="M191" s="60"/>
      <c r="N191" s="81"/>
      <c r="O191" s="81"/>
      <c r="P191" s="81"/>
    </row>
    <row r="192" spans="2:16" ht="11.25" hidden="1">
      <c r="B192" s="15">
        <v>10</v>
      </c>
      <c r="C192" s="23">
        <f t="shared" si="91"/>
        <v>1210</v>
      </c>
      <c r="D192" s="24"/>
      <c r="E192" s="25"/>
      <c r="F192" s="29"/>
      <c r="G192" s="29"/>
      <c r="H192" s="27"/>
      <c r="I192" s="27"/>
      <c r="J192" s="26"/>
      <c r="K192" s="28"/>
      <c r="L192" s="79"/>
      <c r="M192" s="60"/>
      <c r="N192" s="81"/>
      <c r="O192" s="81"/>
      <c r="P192" s="81"/>
    </row>
    <row r="193" spans="2:16" ht="11.25" hidden="1">
      <c r="B193" s="15">
        <v>11</v>
      </c>
      <c r="C193" s="23">
        <f t="shared" si="91"/>
        <v>1211</v>
      </c>
      <c r="D193" s="24"/>
      <c r="E193" s="25"/>
      <c r="F193" s="29"/>
      <c r="G193" s="29"/>
      <c r="H193" s="27"/>
      <c r="I193" s="27"/>
      <c r="J193" s="26"/>
      <c r="K193" s="28"/>
      <c r="L193" s="79"/>
      <c r="M193" s="60"/>
      <c r="N193" s="81"/>
      <c r="O193" s="81"/>
      <c r="P193" s="81"/>
    </row>
    <row r="194" spans="2:16" ht="11.25" hidden="1">
      <c r="B194" s="15">
        <v>12</v>
      </c>
      <c r="C194" s="23">
        <f t="shared" si="91"/>
        <v>1212</v>
      </c>
      <c r="D194" s="24"/>
      <c r="E194" s="25"/>
      <c r="F194" s="29"/>
      <c r="G194" s="29"/>
      <c r="H194" s="27"/>
      <c r="I194" s="27"/>
      <c r="J194" s="26"/>
      <c r="K194" s="28"/>
      <c r="L194" s="79"/>
      <c r="M194" s="60"/>
      <c r="N194" s="81"/>
      <c r="O194" s="81"/>
      <c r="P194" s="81"/>
    </row>
    <row r="195" spans="2:16" ht="11.25" hidden="1">
      <c r="B195" s="15">
        <v>13</v>
      </c>
      <c r="C195" s="23">
        <f t="shared" si="91"/>
        <v>1213</v>
      </c>
      <c r="D195" s="24"/>
      <c r="E195" s="25"/>
      <c r="F195" s="29"/>
      <c r="G195" s="29"/>
      <c r="H195" s="27"/>
      <c r="I195" s="27"/>
      <c r="J195" s="26"/>
      <c r="K195" s="28"/>
      <c r="L195" s="79"/>
      <c r="M195" s="60"/>
      <c r="N195" s="81"/>
      <c r="O195" s="81"/>
      <c r="P195" s="81"/>
    </row>
    <row r="196" spans="2:16" ht="11.25" hidden="1">
      <c r="B196" s="15">
        <v>14</v>
      </c>
      <c r="C196" s="23">
        <f t="shared" si="91"/>
        <v>1214</v>
      </c>
      <c r="D196" s="24"/>
      <c r="E196" s="25"/>
      <c r="F196" s="29"/>
      <c r="G196" s="29"/>
      <c r="H196" s="27"/>
      <c r="I196" s="27"/>
      <c r="J196" s="26"/>
      <c r="K196" s="28"/>
      <c r="L196" s="79"/>
      <c r="M196" s="60"/>
      <c r="N196" s="81"/>
      <c r="O196" s="81"/>
      <c r="P196" s="81"/>
    </row>
    <row r="197" spans="2:16" ht="11.25" hidden="1">
      <c r="B197" s="15">
        <v>15</v>
      </c>
      <c r="C197" s="23">
        <f t="shared" si="91"/>
        <v>1215</v>
      </c>
      <c r="D197" s="24"/>
      <c r="E197" s="25"/>
      <c r="F197" s="29"/>
      <c r="G197" s="29"/>
      <c r="H197" s="27"/>
      <c r="I197" s="27"/>
      <c r="J197" s="26"/>
      <c r="K197" s="28"/>
      <c r="L197" s="79"/>
      <c r="M197" s="60"/>
      <c r="N197" s="81"/>
      <c r="O197" s="81"/>
      <c r="P197" s="81"/>
    </row>
    <row r="198" spans="2:16" ht="11.25" hidden="1">
      <c r="B198" s="15">
        <v>16</v>
      </c>
      <c r="C198" s="23">
        <f t="shared" si="91"/>
        <v>1216</v>
      </c>
      <c r="D198" s="24"/>
      <c r="E198" s="25"/>
      <c r="F198" s="29"/>
      <c r="G198" s="29"/>
      <c r="H198" s="27"/>
      <c r="I198" s="27"/>
      <c r="J198" s="26"/>
      <c r="K198" s="28"/>
      <c r="L198" s="79"/>
      <c r="M198" s="60"/>
      <c r="N198" s="81"/>
      <c r="O198" s="81"/>
      <c r="P198" s="81"/>
    </row>
    <row r="199" spans="1:16" ht="11.25">
      <c r="A199" s="23">
        <v>13</v>
      </c>
      <c r="B199" s="15">
        <v>1</v>
      </c>
      <c r="C199" s="23">
        <f>$A$199*100+B199</f>
        <v>1301</v>
      </c>
      <c r="D199" s="24">
        <v>4</v>
      </c>
      <c r="E199" s="25" t="s">
        <v>10</v>
      </c>
      <c r="F199" s="29">
        <v>4.5</v>
      </c>
      <c r="G199" s="29">
        <v>0.083</v>
      </c>
      <c r="H199" s="27">
        <f aca="true" t="shared" si="92" ref="H199:H207">F199-2*G199</f>
        <v>4.334</v>
      </c>
      <c r="I199" s="27">
        <f aca="true" t="shared" si="93" ref="I199:I207">PI()*(F199^2-H199^2)/4</f>
        <v>1.15174242432521</v>
      </c>
      <c r="J199" s="26">
        <f aca="true" t="shared" si="94" ref="J199:J207">PI()*H199^2/4</f>
        <v>14.752570384473119</v>
      </c>
      <c r="K199" s="28">
        <f t="shared" si="67"/>
        <v>3.915251625129908</v>
      </c>
      <c r="L199" s="60">
        <f aca="true" t="shared" si="95" ref="L199:L209">$J199*0.254^3*2.205*12</f>
        <v>6.396739796351744</v>
      </c>
      <c r="M199" s="105">
        <f aca="true" t="shared" si="96" ref="M199:M209">K199+L199</f>
        <v>10.311991421481652</v>
      </c>
      <c r="N199" s="81">
        <f t="shared" si="63"/>
        <v>2.8097876510921136</v>
      </c>
      <c r="O199" s="81">
        <f t="shared" si="64"/>
        <v>1.248794511596495</v>
      </c>
      <c r="P199" s="81">
        <f t="shared" si="66"/>
        <v>1.5619210127275958</v>
      </c>
    </row>
    <row r="200" spans="2:16" ht="11.25">
      <c r="B200" s="15">
        <v>2</v>
      </c>
      <c r="C200" s="23">
        <f aca="true" t="shared" si="97" ref="C200:C214">$A$199*100+B200</f>
        <v>1302</v>
      </c>
      <c r="D200" s="24">
        <v>4</v>
      </c>
      <c r="E200" s="25" t="s">
        <v>11</v>
      </c>
      <c r="F200" s="29">
        <v>4.5</v>
      </c>
      <c r="G200" s="29">
        <v>0.12</v>
      </c>
      <c r="H200" s="27">
        <f t="shared" si="92"/>
        <v>4.26</v>
      </c>
      <c r="I200" s="27">
        <f t="shared" si="93"/>
        <v>1.6512210987267977</v>
      </c>
      <c r="J200" s="26">
        <f t="shared" si="94"/>
        <v>14.25309171007153</v>
      </c>
      <c r="K200" s="28">
        <f t="shared" si="67"/>
        <v>5.613187422549456</v>
      </c>
      <c r="L200" s="60">
        <f t="shared" si="95"/>
        <v>6.180164987304474</v>
      </c>
      <c r="M200" s="105">
        <f t="shared" si="96"/>
        <v>11.79335240985393</v>
      </c>
      <c r="N200" s="81">
        <f t="shared" si="63"/>
        <v>3.9626829537795047</v>
      </c>
      <c r="O200" s="81">
        <f t="shared" si="64"/>
        <v>1.761192423902002</v>
      </c>
      <c r="P200" s="81">
        <f t="shared" si="66"/>
        <v>1.5491449254346734</v>
      </c>
    </row>
    <row r="201" spans="2:16" ht="11.25">
      <c r="B201" s="15">
        <v>3</v>
      </c>
      <c r="C201" s="23">
        <f t="shared" si="97"/>
        <v>1303</v>
      </c>
      <c r="D201" s="24">
        <v>4</v>
      </c>
      <c r="E201" s="25">
        <v>40</v>
      </c>
      <c r="F201" s="29">
        <v>4.5</v>
      </c>
      <c r="G201" s="29">
        <v>0.237</v>
      </c>
      <c r="H201" s="27">
        <f t="shared" si="92"/>
        <v>4.026</v>
      </c>
      <c r="I201" s="27">
        <f t="shared" si="93"/>
        <v>3.1740484472940316</v>
      </c>
      <c r="J201" s="26">
        <f t="shared" si="94"/>
        <v>12.730264361504297</v>
      </c>
      <c r="K201" s="28">
        <f t="shared" si="67"/>
        <v>10.789911076506488</v>
      </c>
      <c r="L201" s="60">
        <f t="shared" si="95"/>
        <v>5.519864439692431</v>
      </c>
      <c r="M201" s="105">
        <f t="shared" si="96"/>
        <v>16.30977551619892</v>
      </c>
      <c r="N201" s="81">
        <f t="shared" si="63"/>
        <v>7.232600246762261</v>
      </c>
      <c r="O201" s="81">
        <f t="shared" si="64"/>
        <v>3.214488998561005</v>
      </c>
      <c r="P201" s="81">
        <f t="shared" si="66"/>
        <v>1.5095255049186815</v>
      </c>
    </row>
    <row r="202" spans="2:16" ht="11.25">
      <c r="B202" s="15">
        <v>4</v>
      </c>
      <c r="C202" s="23">
        <f t="shared" si="97"/>
        <v>1304</v>
      </c>
      <c r="D202" s="24">
        <v>4</v>
      </c>
      <c r="E202" s="25" t="s">
        <v>12</v>
      </c>
      <c r="F202" s="29">
        <v>4.5</v>
      </c>
      <c r="G202" s="29">
        <v>0.237</v>
      </c>
      <c r="H202" s="27">
        <f t="shared" si="92"/>
        <v>4.026</v>
      </c>
      <c r="I202" s="27">
        <f t="shared" si="93"/>
        <v>3.1740484472940316</v>
      </c>
      <c r="J202" s="26">
        <f t="shared" si="94"/>
        <v>12.730264361504297</v>
      </c>
      <c r="K202" s="28">
        <f t="shared" si="67"/>
        <v>10.789911076506488</v>
      </c>
      <c r="L202" s="60">
        <f t="shared" si="95"/>
        <v>5.519864439692431</v>
      </c>
      <c r="M202" s="105">
        <f t="shared" si="96"/>
        <v>16.30977551619892</v>
      </c>
      <c r="N202" s="81">
        <f t="shared" si="63"/>
        <v>7.232600246762261</v>
      </c>
      <c r="O202" s="81">
        <f t="shared" si="64"/>
        <v>3.214488998561005</v>
      </c>
      <c r="P202" s="81">
        <f t="shared" si="66"/>
        <v>1.5095255049186815</v>
      </c>
    </row>
    <row r="203" spans="2:16" ht="11.25">
      <c r="B203" s="15">
        <v>5</v>
      </c>
      <c r="C203" s="23">
        <f t="shared" si="97"/>
        <v>1305</v>
      </c>
      <c r="D203" s="24">
        <v>4</v>
      </c>
      <c r="E203" s="25" t="s">
        <v>0</v>
      </c>
      <c r="F203" s="29">
        <v>4.5</v>
      </c>
      <c r="G203" s="29">
        <v>0.237</v>
      </c>
      <c r="H203" s="27">
        <f t="shared" si="92"/>
        <v>4.026</v>
      </c>
      <c r="I203" s="27">
        <f t="shared" si="93"/>
        <v>3.1740484472940316</v>
      </c>
      <c r="J203" s="26">
        <f t="shared" si="94"/>
        <v>12.730264361504297</v>
      </c>
      <c r="K203" s="28">
        <f t="shared" si="67"/>
        <v>10.789911076506488</v>
      </c>
      <c r="L203" s="60">
        <f t="shared" si="95"/>
        <v>5.519864439692431</v>
      </c>
      <c r="M203" s="105">
        <f t="shared" si="96"/>
        <v>16.30977551619892</v>
      </c>
      <c r="N203" s="81">
        <f t="shared" si="63"/>
        <v>7.232600246762261</v>
      </c>
      <c r="O203" s="81">
        <f t="shared" si="64"/>
        <v>3.214488998561005</v>
      </c>
      <c r="P203" s="81">
        <f t="shared" si="66"/>
        <v>1.5095255049186815</v>
      </c>
    </row>
    <row r="204" spans="2:16" ht="11.25">
      <c r="B204" s="15">
        <v>6</v>
      </c>
      <c r="C204" s="23">
        <f t="shared" si="97"/>
        <v>1306</v>
      </c>
      <c r="D204" s="24">
        <v>4</v>
      </c>
      <c r="E204" s="25">
        <v>80</v>
      </c>
      <c r="F204" s="29">
        <v>4.5</v>
      </c>
      <c r="G204" s="29">
        <v>0.337</v>
      </c>
      <c r="H204" s="27">
        <f t="shared" si="92"/>
        <v>3.826</v>
      </c>
      <c r="I204" s="27">
        <f t="shared" si="93"/>
        <v>4.407437723093381</v>
      </c>
      <c r="J204" s="26">
        <f t="shared" si="94"/>
        <v>11.496875085704946</v>
      </c>
      <c r="K204" s="28">
        <f t="shared" si="67"/>
        <v>14.982714314887211</v>
      </c>
      <c r="L204" s="60">
        <f t="shared" si="95"/>
        <v>4.9850647363673115</v>
      </c>
      <c r="M204" s="105">
        <f t="shared" si="96"/>
        <v>19.967779051254524</v>
      </c>
      <c r="N204" s="81">
        <f t="shared" si="63"/>
        <v>9.61049398350584</v>
      </c>
      <c r="O204" s="81">
        <f t="shared" si="64"/>
        <v>4.271330659335929</v>
      </c>
      <c r="P204" s="81">
        <f t="shared" si="66"/>
        <v>1.4766574585867909</v>
      </c>
    </row>
    <row r="205" spans="2:16" ht="11.25">
      <c r="B205" s="15">
        <v>7</v>
      </c>
      <c r="C205" s="23">
        <f t="shared" si="97"/>
        <v>1307</v>
      </c>
      <c r="D205" s="24">
        <v>4</v>
      </c>
      <c r="E205" s="25" t="s">
        <v>13</v>
      </c>
      <c r="F205" s="29">
        <v>4.5</v>
      </c>
      <c r="G205" s="29">
        <v>0.337</v>
      </c>
      <c r="H205" s="27">
        <f t="shared" si="92"/>
        <v>3.826</v>
      </c>
      <c r="I205" s="27">
        <f t="shared" si="93"/>
        <v>4.407437723093381</v>
      </c>
      <c r="J205" s="26">
        <f t="shared" si="94"/>
        <v>11.496875085704946</v>
      </c>
      <c r="K205" s="28">
        <f t="shared" si="67"/>
        <v>14.982714314887211</v>
      </c>
      <c r="L205" s="60">
        <f t="shared" si="95"/>
        <v>4.9850647363673115</v>
      </c>
      <c r="M205" s="105">
        <f t="shared" si="96"/>
        <v>19.967779051254524</v>
      </c>
      <c r="N205" s="81">
        <f t="shared" si="63"/>
        <v>9.61049398350584</v>
      </c>
      <c r="O205" s="81">
        <f t="shared" si="64"/>
        <v>4.271330659335929</v>
      </c>
      <c r="P205" s="81">
        <f t="shared" si="66"/>
        <v>1.4766574585867909</v>
      </c>
    </row>
    <row r="206" spans="2:16" ht="11.25">
      <c r="B206" s="15">
        <v>8</v>
      </c>
      <c r="C206" s="23">
        <f t="shared" si="97"/>
        <v>1308</v>
      </c>
      <c r="D206" s="24">
        <v>4</v>
      </c>
      <c r="E206" s="25" t="s">
        <v>1</v>
      </c>
      <c r="F206" s="29">
        <v>4.5</v>
      </c>
      <c r="G206" s="29">
        <v>0.337</v>
      </c>
      <c r="H206" s="27">
        <f>F206-2*G206</f>
        <v>3.826</v>
      </c>
      <c r="I206" s="27">
        <f>PI()*(F206^2-H206^2)/4</f>
        <v>4.407437723093381</v>
      </c>
      <c r="J206" s="26">
        <f>PI()*H206^2/4</f>
        <v>11.496875085704946</v>
      </c>
      <c r="K206" s="28">
        <f t="shared" si="67"/>
        <v>14.982714314887211</v>
      </c>
      <c r="L206" s="60">
        <f t="shared" si="95"/>
        <v>4.9850647363673115</v>
      </c>
      <c r="M206" s="105">
        <f t="shared" si="96"/>
        <v>19.967779051254524</v>
      </c>
      <c r="N206" s="81">
        <f t="shared" si="63"/>
        <v>9.61049398350584</v>
      </c>
      <c r="O206" s="81">
        <f t="shared" si="64"/>
        <v>4.271330659335929</v>
      </c>
      <c r="P206" s="81">
        <f t="shared" si="66"/>
        <v>1.4766574585867909</v>
      </c>
    </row>
    <row r="207" spans="2:16" ht="11.25">
      <c r="B207" s="15">
        <v>9</v>
      </c>
      <c r="C207" s="23">
        <f t="shared" si="97"/>
        <v>1309</v>
      </c>
      <c r="D207" s="24">
        <v>4</v>
      </c>
      <c r="E207" s="25">
        <v>120</v>
      </c>
      <c r="F207" s="29">
        <v>4.5</v>
      </c>
      <c r="G207" s="29">
        <v>0.438</v>
      </c>
      <c r="H207" s="27">
        <f t="shared" si="92"/>
        <v>3.624</v>
      </c>
      <c r="I207" s="27">
        <f t="shared" si="93"/>
        <v>5.589383419190201</v>
      </c>
      <c r="J207" s="26">
        <f t="shared" si="94"/>
        <v>10.314929389608126</v>
      </c>
      <c r="K207" s="28">
        <f t="shared" si="67"/>
        <v>19.00063942532988</v>
      </c>
      <c r="L207" s="60">
        <f t="shared" si="95"/>
        <v>4.472571057346697</v>
      </c>
      <c r="M207" s="105">
        <f t="shared" si="96"/>
        <v>23.473210482676578</v>
      </c>
      <c r="N207" s="81">
        <f t="shared" si="63"/>
        <v>11.662030518187008</v>
      </c>
      <c r="O207" s="81">
        <f t="shared" si="64"/>
        <v>5.183124674749781</v>
      </c>
      <c r="P207" s="81">
        <f t="shared" si="66"/>
        <v>1.4444587221516578</v>
      </c>
    </row>
    <row r="208" spans="2:16" ht="11.25">
      <c r="B208" s="15">
        <v>10</v>
      </c>
      <c r="C208" s="23">
        <f t="shared" si="97"/>
        <v>1310</v>
      </c>
      <c r="D208" s="24">
        <v>4</v>
      </c>
      <c r="E208" s="25">
        <v>160</v>
      </c>
      <c r="F208" s="29">
        <v>4.5</v>
      </c>
      <c r="G208" s="29">
        <v>0.531</v>
      </c>
      <c r="H208" s="27">
        <f>F208-2*G208</f>
        <v>3.4379999999999997</v>
      </c>
      <c r="I208" s="27">
        <f>PI()*(F208^2-H208^2)/4</f>
        <v>6.621029039553981</v>
      </c>
      <c r="J208" s="26">
        <f>PI()*H208^2/4</f>
        <v>9.283283769244347</v>
      </c>
      <c r="K208" s="28">
        <f t="shared" si="67"/>
        <v>22.507632053524436</v>
      </c>
      <c r="L208" s="60">
        <f t="shared" si="95"/>
        <v>4.025247748694091</v>
      </c>
      <c r="M208" s="105">
        <f t="shared" si="96"/>
        <v>26.532879802218527</v>
      </c>
      <c r="N208" s="81">
        <f t="shared" si="63"/>
        <v>13.270960526122876</v>
      </c>
      <c r="O208" s="81">
        <f t="shared" si="64"/>
        <v>5.898204678276834</v>
      </c>
      <c r="P208" s="81">
        <f t="shared" si="66"/>
        <v>1.4157560700911722</v>
      </c>
    </row>
    <row r="209" spans="2:16" ht="11.25">
      <c r="B209" s="15">
        <v>11</v>
      </c>
      <c r="C209" s="23">
        <f t="shared" si="97"/>
        <v>1311</v>
      </c>
      <c r="D209" s="24">
        <v>4</v>
      </c>
      <c r="E209" s="25" t="s">
        <v>2</v>
      </c>
      <c r="F209" s="29">
        <v>4.5</v>
      </c>
      <c r="G209" s="29">
        <v>0.674</v>
      </c>
      <c r="H209" s="27">
        <f>F209-2*G209</f>
        <v>3.152</v>
      </c>
      <c r="I209" s="27">
        <f>PI()*(F209^2-H209^2)/4</f>
        <v>8.101300374035684</v>
      </c>
      <c r="J209" s="26">
        <f>PI()*H209^2/4</f>
        <v>7.803012434762643</v>
      </c>
      <c r="K209" s="28">
        <f t="shared" si="67"/>
        <v>27.53969011230289</v>
      </c>
      <c r="L209" s="60">
        <f t="shared" si="95"/>
        <v>3.383399561706708</v>
      </c>
      <c r="M209" s="105">
        <f t="shared" si="96"/>
        <v>30.923089674009596</v>
      </c>
      <c r="N209" s="81">
        <f t="shared" si="63"/>
        <v>15.28366214534413</v>
      </c>
      <c r="O209" s="81">
        <f t="shared" si="64"/>
        <v>6.792738731264057</v>
      </c>
      <c r="P209" s="81">
        <f t="shared" si="66"/>
        <v>1.373524299020589</v>
      </c>
    </row>
    <row r="210" spans="2:16" ht="11.25" hidden="1">
      <c r="B210" s="15">
        <v>12</v>
      </c>
      <c r="C210" s="23">
        <f t="shared" si="97"/>
        <v>1312</v>
      </c>
      <c r="D210" s="24"/>
      <c r="E210" s="25"/>
      <c r="F210" s="29"/>
      <c r="G210" s="29"/>
      <c r="H210" s="27"/>
      <c r="I210" s="27"/>
      <c r="J210" s="26"/>
      <c r="K210" s="28"/>
      <c r="L210" s="79"/>
      <c r="M210" s="60"/>
      <c r="N210" s="81"/>
      <c r="O210" s="81"/>
      <c r="P210" s="81"/>
    </row>
    <row r="211" spans="2:16" ht="11.25" hidden="1">
      <c r="B211" s="15">
        <v>13</v>
      </c>
      <c r="C211" s="23">
        <f t="shared" si="97"/>
        <v>1313</v>
      </c>
      <c r="D211" s="24"/>
      <c r="E211" s="25"/>
      <c r="F211" s="29"/>
      <c r="G211" s="29"/>
      <c r="H211" s="27"/>
      <c r="I211" s="27"/>
      <c r="J211" s="26"/>
      <c r="K211" s="28"/>
      <c r="L211" s="79"/>
      <c r="M211" s="60"/>
      <c r="N211" s="81"/>
      <c r="O211" s="81"/>
      <c r="P211" s="81"/>
    </row>
    <row r="212" spans="2:16" ht="11.25" hidden="1">
      <c r="B212" s="15">
        <v>14</v>
      </c>
      <c r="C212" s="23">
        <f t="shared" si="97"/>
        <v>1314</v>
      </c>
      <c r="D212" s="24"/>
      <c r="E212" s="25"/>
      <c r="F212" s="29"/>
      <c r="G212" s="29"/>
      <c r="H212" s="27"/>
      <c r="I212" s="27"/>
      <c r="J212" s="26"/>
      <c r="K212" s="28"/>
      <c r="L212" s="79"/>
      <c r="M212" s="60"/>
      <c r="N212" s="81"/>
      <c r="O212" s="81"/>
      <c r="P212" s="81"/>
    </row>
    <row r="213" spans="2:16" ht="11.25" hidden="1">
      <c r="B213" s="15">
        <v>15</v>
      </c>
      <c r="C213" s="23">
        <f t="shared" si="97"/>
        <v>1315</v>
      </c>
      <c r="D213" s="24"/>
      <c r="E213" s="25"/>
      <c r="F213" s="29"/>
      <c r="G213" s="29"/>
      <c r="H213" s="27"/>
      <c r="I213" s="27"/>
      <c r="J213" s="26"/>
      <c r="K213" s="28"/>
      <c r="L213" s="79"/>
      <c r="M213" s="60"/>
      <c r="N213" s="81"/>
      <c r="O213" s="81"/>
      <c r="P213" s="81"/>
    </row>
    <row r="214" spans="2:16" ht="11.25" hidden="1">
      <c r="B214" s="15">
        <v>16</v>
      </c>
      <c r="C214" s="23">
        <f t="shared" si="97"/>
        <v>1316</v>
      </c>
      <c r="D214" s="24"/>
      <c r="E214" s="25"/>
      <c r="F214" s="29"/>
      <c r="G214" s="29"/>
      <c r="H214" s="27"/>
      <c r="I214" s="27"/>
      <c r="J214" s="26"/>
      <c r="K214" s="28"/>
      <c r="L214" s="79"/>
      <c r="M214" s="60"/>
      <c r="N214" s="81"/>
      <c r="O214" s="81"/>
      <c r="P214" s="81"/>
    </row>
    <row r="215" spans="1:16" ht="11.25">
      <c r="A215" s="23">
        <v>14</v>
      </c>
      <c r="B215" s="15">
        <v>1</v>
      </c>
      <c r="C215" s="23">
        <f>$A$215*100+B215</f>
        <v>1401</v>
      </c>
      <c r="D215" s="24">
        <v>5</v>
      </c>
      <c r="E215" s="25" t="s">
        <v>10</v>
      </c>
      <c r="F215" s="29">
        <v>5.563</v>
      </c>
      <c r="G215" s="29">
        <v>0.109</v>
      </c>
      <c r="H215" s="27">
        <f aca="true" t="shared" si="98" ref="H215:H222">F215-2*G215</f>
        <v>5.345</v>
      </c>
      <c r="I215" s="27">
        <f aca="true" t="shared" si="99" ref="I215:I222">PI()*(F215^2-H215^2)/4</f>
        <v>1.8676328502619812</v>
      </c>
      <c r="J215" s="26">
        <f aca="true" t="shared" si="100" ref="J215:J222">PI()*H215^2/4</f>
        <v>22.438059765055783</v>
      </c>
      <c r="K215" s="28">
        <f t="shared" si="67"/>
        <v>6.348860993306183</v>
      </c>
      <c r="L215" s="60">
        <f aca="true" t="shared" si="101" ref="L215:L225">$J215*0.254^3*2.205*12</f>
        <v>9.729181160397312</v>
      </c>
      <c r="M215" s="105">
        <f aca="true" t="shared" si="102" ref="M215:M225">K215+L215</f>
        <v>16.078042153703496</v>
      </c>
      <c r="N215" s="81">
        <f aca="true" t="shared" si="103" ref="N215:N289">PI()*(($F215)^4-($H215)^4)/64</f>
        <v>6.947126594399688</v>
      </c>
      <c r="O215" s="81">
        <f aca="true" t="shared" si="104" ref="O215:O289">PI()*(($F215)^4-($H215)^4)/(32*($F215))</f>
        <v>2.4976187648390034</v>
      </c>
      <c r="P215" s="81">
        <f t="shared" si="66"/>
        <v>1.9286652444112744</v>
      </c>
    </row>
    <row r="216" spans="2:16" ht="11.25">
      <c r="B216" s="15">
        <v>2</v>
      </c>
      <c r="C216" s="23">
        <f aca="true" t="shared" si="105" ref="C216:C230">$A$215*100+B216</f>
        <v>1402</v>
      </c>
      <c r="D216" s="24">
        <v>5</v>
      </c>
      <c r="E216" s="25" t="s">
        <v>11</v>
      </c>
      <c r="F216" s="29">
        <v>5.563</v>
      </c>
      <c r="G216" s="29">
        <v>0.134</v>
      </c>
      <c r="H216" s="27">
        <f t="shared" si="98"/>
        <v>5.295</v>
      </c>
      <c r="I216" s="27">
        <f t="shared" si="99"/>
        <v>2.285464673189421</v>
      </c>
      <c r="J216" s="26">
        <f t="shared" si="100"/>
        <v>22.020227942128344</v>
      </c>
      <c r="K216" s="28">
        <f t="shared" si="67"/>
        <v>7.769245177474888</v>
      </c>
      <c r="L216" s="60">
        <f t="shared" si="101"/>
        <v>9.548008566046214</v>
      </c>
      <c r="M216" s="105">
        <f t="shared" si="102"/>
        <v>17.3172537435211</v>
      </c>
      <c r="N216" s="81">
        <f t="shared" si="103"/>
        <v>8.42536466066355</v>
      </c>
      <c r="O216" s="81">
        <f t="shared" si="104"/>
        <v>3.029072320928834</v>
      </c>
      <c r="P216" s="81">
        <f t="shared" si="66"/>
        <v>1.920025943835135</v>
      </c>
    </row>
    <row r="217" spans="2:16" ht="11.25">
      <c r="B217" s="15">
        <v>3</v>
      </c>
      <c r="C217" s="23">
        <f t="shared" si="105"/>
        <v>1403</v>
      </c>
      <c r="D217" s="24">
        <v>5</v>
      </c>
      <c r="E217" s="25">
        <v>40</v>
      </c>
      <c r="F217" s="29">
        <v>5.563</v>
      </c>
      <c r="G217" s="29">
        <v>0.258</v>
      </c>
      <c r="H217" s="27">
        <f t="shared" si="98"/>
        <v>5.047</v>
      </c>
      <c r="I217" s="27">
        <f t="shared" si="99"/>
        <v>4.299866449041814</v>
      </c>
      <c r="J217" s="26">
        <f t="shared" si="100"/>
        <v>20.00582616627595</v>
      </c>
      <c r="K217" s="28">
        <f t="shared" si="67"/>
        <v>14.617034804735928</v>
      </c>
      <c r="L217" s="60">
        <f t="shared" si="101"/>
        <v>8.674560504480038</v>
      </c>
      <c r="M217" s="105">
        <f t="shared" si="102"/>
        <v>23.291595309215964</v>
      </c>
      <c r="N217" s="81">
        <f t="shared" si="103"/>
        <v>15.162183160294875</v>
      </c>
      <c r="O217" s="81">
        <f t="shared" si="104"/>
        <v>5.45108148851155</v>
      </c>
      <c r="P217" s="81">
        <f t="shared" si="66"/>
        <v>1.8778175164269821</v>
      </c>
    </row>
    <row r="218" spans="2:16" ht="11.25">
      <c r="B218" s="15">
        <v>4</v>
      </c>
      <c r="C218" s="23">
        <f t="shared" si="105"/>
        <v>1404</v>
      </c>
      <c r="D218" s="24">
        <v>5</v>
      </c>
      <c r="E218" s="25" t="s">
        <v>12</v>
      </c>
      <c r="F218" s="29">
        <v>5.563</v>
      </c>
      <c r="G218" s="29">
        <v>0.258</v>
      </c>
      <c r="H218" s="27">
        <f t="shared" si="98"/>
        <v>5.047</v>
      </c>
      <c r="I218" s="27">
        <f t="shared" si="99"/>
        <v>4.299866449041814</v>
      </c>
      <c r="J218" s="26">
        <f t="shared" si="100"/>
        <v>20.00582616627595</v>
      </c>
      <c r="K218" s="28">
        <f t="shared" si="67"/>
        <v>14.617034804735928</v>
      </c>
      <c r="L218" s="60">
        <f t="shared" si="101"/>
        <v>8.674560504480038</v>
      </c>
      <c r="M218" s="105">
        <f t="shared" si="102"/>
        <v>23.291595309215964</v>
      </c>
      <c r="N218" s="81">
        <f t="shared" si="103"/>
        <v>15.162183160294875</v>
      </c>
      <c r="O218" s="81">
        <f t="shared" si="104"/>
        <v>5.45108148851155</v>
      </c>
      <c r="P218" s="81">
        <f t="shared" si="66"/>
        <v>1.8778175164269821</v>
      </c>
    </row>
    <row r="219" spans="2:16" ht="11.25">
      <c r="B219" s="15">
        <v>5</v>
      </c>
      <c r="C219" s="23">
        <f t="shared" si="105"/>
        <v>1405</v>
      </c>
      <c r="D219" s="24">
        <v>5</v>
      </c>
      <c r="E219" s="25" t="s">
        <v>0</v>
      </c>
      <c r="F219" s="29">
        <v>5.563</v>
      </c>
      <c r="G219" s="29">
        <v>0.258</v>
      </c>
      <c r="H219" s="27">
        <f t="shared" si="98"/>
        <v>5.047</v>
      </c>
      <c r="I219" s="27">
        <f t="shared" si="99"/>
        <v>4.299866449041814</v>
      </c>
      <c r="J219" s="26">
        <f t="shared" si="100"/>
        <v>20.00582616627595</v>
      </c>
      <c r="K219" s="28">
        <f t="shared" si="67"/>
        <v>14.617034804735928</v>
      </c>
      <c r="L219" s="60">
        <f t="shared" si="101"/>
        <v>8.674560504480038</v>
      </c>
      <c r="M219" s="105">
        <f t="shared" si="102"/>
        <v>23.291595309215964</v>
      </c>
      <c r="N219" s="81">
        <f t="shared" si="103"/>
        <v>15.162183160294875</v>
      </c>
      <c r="O219" s="81">
        <f t="shared" si="104"/>
        <v>5.45108148851155</v>
      </c>
      <c r="P219" s="81">
        <f t="shared" si="66"/>
        <v>1.8778175164269821</v>
      </c>
    </row>
    <row r="220" spans="2:16" ht="11.25">
      <c r="B220" s="15">
        <v>6</v>
      </c>
      <c r="C220" s="23">
        <f t="shared" si="105"/>
        <v>1406</v>
      </c>
      <c r="D220" s="24">
        <v>5</v>
      </c>
      <c r="E220" s="25">
        <v>80</v>
      </c>
      <c r="F220" s="29">
        <v>5.563</v>
      </c>
      <c r="G220" s="29">
        <v>0.375</v>
      </c>
      <c r="H220" s="27">
        <f t="shared" si="98"/>
        <v>4.813</v>
      </c>
      <c r="I220" s="27">
        <f t="shared" si="99"/>
        <v>6.1119685075589425</v>
      </c>
      <c r="J220" s="26">
        <f t="shared" si="100"/>
        <v>18.193724107758822</v>
      </c>
      <c r="K220" s="28">
        <f t="shared" si="67"/>
        <v>20.77712353609199</v>
      </c>
      <c r="L220" s="60">
        <f t="shared" si="101"/>
        <v>7.888829946978861</v>
      </c>
      <c r="M220" s="105">
        <f t="shared" si="102"/>
        <v>28.66595348307085</v>
      </c>
      <c r="N220" s="81">
        <f t="shared" si="103"/>
        <v>20.670653808686378</v>
      </c>
      <c r="O220" s="81">
        <f t="shared" si="104"/>
        <v>7.431477191690232</v>
      </c>
      <c r="P220" s="81">
        <f t="shared" si="66"/>
        <v>1.8390204253895606</v>
      </c>
    </row>
    <row r="221" spans="2:16" ht="11.25">
      <c r="B221" s="15">
        <v>7</v>
      </c>
      <c r="C221" s="23">
        <f t="shared" si="105"/>
        <v>1407</v>
      </c>
      <c r="D221" s="24">
        <v>5</v>
      </c>
      <c r="E221" s="25" t="s">
        <v>13</v>
      </c>
      <c r="F221" s="29">
        <v>5.563</v>
      </c>
      <c r="G221" s="29">
        <v>0.375</v>
      </c>
      <c r="H221" s="27">
        <f t="shared" si="98"/>
        <v>4.813</v>
      </c>
      <c r="I221" s="27">
        <f t="shared" si="99"/>
        <v>6.1119685075589425</v>
      </c>
      <c r="J221" s="26">
        <f t="shared" si="100"/>
        <v>18.193724107758822</v>
      </c>
      <c r="K221" s="28">
        <f t="shared" si="67"/>
        <v>20.77712353609199</v>
      </c>
      <c r="L221" s="60">
        <f t="shared" si="101"/>
        <v>7.888829946978861</v>
      </c>
      <c r="M221" s="105">
        <f t="shared" si="102"/>
        <v>28.66595348307085</v>
      </c>
      <c r="N221" s="81">
        <f t="shared" si="103"/>
        <v>20.670653808686378</v>
      </c>
      <c r="O221" s="81">
        <f t="shared" si="104"/>
        <v>7.431477191690232</v>
      </c>
      <c r="P221" s="81">
        <f t="shared" si="66"/>
        <v>1.8390204253895606</v>
      </c>
    </row>
    <row r="222" spans="2:16" ht="11.25">
      <c r="B222" s="15">
        <v>8</v>
      </c>
      <c r="C222" s="23">
        <f t="shared" si="105"/>
        <v>1408</v>
      </c>
      <c r="D222" s="24">
        <v>5</v>
      </c>
      <c r="E222" s="25" t="s">
        <v>1</v>
      </c>
      <c r="F222" s="29">
        <v>5.563</v>
      </c>
      <c r="G222" s="29">
        <v>0.375</v>
      </c>
      <c r="H222" s="27">
        <f t="shared" si="98"/>
        <v>4.813</v>
      </c>
      <c r="I222" s="27">
        <f t="shared" si="99"/>
        <v>6.1119685075589425</v>
      </c>
      <c r="J222" s="26">
        <f t="shared" si="100"/>
        <v>18.193724107758822</v>
      </c>
      <c r="K222" s="28">
        <f t="shared" si="67"/>
        <v>20.77712353609199</v>
      </c>
      <c r="L222" s="60">
        <f t="shared" si="101"/>
        <v>7.888829946978861</v>
      </c>
      <c r="M222" s="105">
        <f t="shared" si="102"/>
        <v>28.66595348307085</v>
      </c>
      <c r="N222" s="81">
        <f t="shared" si="103"/>
        <v>20.670653808686378</v>
      </c>
      <c r="O222" s="81">
        <f t="shared" si="104"/>
        <v>7.431477191690232</v>
      </c>
      <c r="P222" s="81">
        <f t="shared" si="66"/>
        <v>1.8390204253895606</v>
      </c>
    </row>
    <row r="223" spans="2:16" ht="11.25">
      <c r="B223" s="15">
        <v>9</v>
      </c>
      <c r="C223" s="23">
        <f t="shared" si="105"/>
        <v>1409</v>
      </c>
      <c r="D223" s="24">
        <v>5</v>
      </c>
      <c r="E223" s="25">
        <v>120</v>
      </c>
      <c r="F223" s="29">
        <v>5.563</v>
      </c>
      <c r="G223" s="29">
        <v>0.5</v>
      </c>
      <c r="H223" s="27">
        <f>F223-2*G223</f>
        <v>4.563</v>
      </c>
      <c r="I223" s="27">
        <f>PI()*(F223^2-H223^2)/4</f>
        <v>7.95294180256256</v>
      </c>
      <c r="J223" s="26">
        <f>PI()*H223^2/4</f>
        <v>16.352750812755204</v>
      </c>
      <c r="K223" s="28">
        <f t="shared" si="67"/>
        <v>27.035357610700007</v>
      </c>
      <c r="L223" s="60">
        <f t="shared" si="101"/>
        <v>7.090580771868009</v>
      </c>
      <c r="M223" s="105">
        <f t="shared" si="102"/>
        <v>34.125938382568016</v>
      </c>
      <c r="N223" s="81">
        <f t="shared" si="103"/>
        <v>25.73171238454168</v>
      </c>
      <c r="O223" s="81">
        <f t="shared" si="104"/>
        <v>9.251020091512379</v>
      </c>
      <c r="P223" s="81">
        <f t="shared" si="66"/>
        <v>1.7987484885330691</v>
      </c>
    </row>
    <row r="224" spans="2:16" ht="11.25">
      <c r="B224" s="15">
        <v>10</v>
      </c>
      <c r="C224" s="23">
        <f t="shared" si="105"/>
        <v>1410</v>
      </c>
      <c r="D224" s="24">
        <v>5</v>
      </c>
      <c r="E224" s="25">
        <v>160</v>
      </c>
      <c r="F224" s="29">
        <v>5.563</v>
      </c>
      <c r="G224" s="29">
        <v>0.625</v>
      </c>
      <c r="H224" s="27">
        <f aca="true" t="shared" si="106" ref="H224:H239">F224-2*G224</f>
        <v>4.313</v>
      </c>
      <c r="I224" s="27">
        <f aca="true" t="shared" si="107" ref="I224:I239">PI()*(F224^2-H224^2)/4</f>
        <v>9.695740327141499</v>
      </c>
      <c r="J224" s="26">
        <f aca="true" t="shared" si="108" ref="J224:J239">PI()*H224^2/4</f>
        <v>14.609952288176265</v>
      </c>
      <c r="K224" s="28">
        <f t="shared" si="67"/>
        <v>32.95985479993004</v>
      </c>
      <c r="L224" s="60">
        <f t="shared" si="101"/>
        <v>6.334900345429878</v>
      </c>
      <c r="M224" s="105">
        <f t="shared" si="102"/>
        <v>39.29475514535992</v>
      </c>
      <c r="N224" s="81">
        <f t="shared" si="103"/>
        <v>30.025852270852106</v>
      </c>
      <c r="O224" s="81">
        <f t="shared" si="104"/>
        <v>10.794841729589109</v>
      </c>
      <c r="P224" s="81">
        <f aca="true" t="shared" si="109" ref="P224:P299">SQRT(N224/I224)</f>
        <v>1.7597751631955711</v>
      </c>
    </row>
    <row r="225" spans="2:16" ht="11.25">
      <c r="B225" s="15">
        <v>11</v>
      </c>
      <c r="C225" s="23">
        <f t="shared" si="105"/>
        <v>1411</v>
      </c>
      <c r="D225" s="24">
        <v>5</v>
      </c>
      <c r="E225" s="25" t="s">
        <v>2</v>
      </c>
      <c r="F225" s="29">
        <v>5.563</v>
      </c>
      <c r="G225" s="29">
        <v>0.75</v>
      </c>
      <c r="H225" s="27">
        <f t="shared" si="106"/>
        <v>4.063</v>
      </c>
      <c r="I225" s="27">
        <f t="shared" si="107"/>
        <v>11.340364081295753</v>
      </c>
      <c r="J225" s="26">
        <f t="shared" si="108"/>
        <v>12.96532853402201</v>
      </c>
      <c r="K225" s="28">
        <f aca="true" t="shared" si="110" ref="K225:K300">I225*3.399416</f>
        <v>38.550615103782086</v>
      </c>
      <c r="L225" s="60">
        <f t="shared" si="101"/>
        <v>5.621788667664467</v>
      </c>
      <c r="M225" s="105">
        <f t="shared" si="102"/>
        <v>44.172403771446554</v>
      </c>
      <c r="N225" s="81">
        <f t="shared" si="103"/>
        <v>33.6347671484573</v>
      </c>
      <c r="O225" s="81">
        <f t="shared" si="104"/>
        <v>12.092312474728493</v>
      </c>
      <c r="P225" s="81">
        <f t="shared" si="109"/>
        <v>1.722188614815462</v>
      </c>
    </row>
    <row r="226" spans="2:16" ht="11.25" hidden="1">
      <c r="B226" s="15">
        <v>12</v>
      </c>
      <c r="C226" s="23">
        <f t="shared" si="105"/>
        <v>1412</v>
      </c>
      <c r="D226" s="24"/>
      <c r="E226" s="25"/>
      <c r="F226" s="29"/>
      <c r="G226" s="29"/>
      <c r="H226" s="27"/>
      <c r="I226" s="27"/>
      <c r="J226" s="26"/>
      <c r="K226" s="28"/>
      <c r="L226" s="79"/>
      <c r="M226" s="60"/>
      <c r="N226" s="81"/>
      <c r="O226" s="81"/>
      <c r="P226" s="81"/>
    </row>
    <row r="227" spans="2:16" ht="11.25" hidden="1">
      <c r="B227" s="15">
        <v>13</v>
      </c>
      <c r="C227" s="23">
        <f t="shared" si="105"/>
        <v>1413</v>
      </c>
      <c r="D227" s="24"/>
      <c r="E227" s="25"/>
      <c r="F227" s="29"/>
      <c r="G227" s="29"/>
      <c r="H227" s="27"/>
      <c r="I227" s="27"/>
      <c r="J227" s="26"/>
      <c r="K227" s="28"/>
      <c r="L227" s="79"/>
      <c r="M227" s="60"/>
      <c r="N227" s="81"/>
      <c r="O227" s="81"/>
      <c r="P227" s="81"/>
    </row>
    <row r="228" spans="2:16" ht="11.25" hidden="1">
      <c r="B228" s="15">
        <v>14</v>
      </c>
      <c r="C228" s="23">
        <f t="shared" si="105"/>
        <v>1414</v>
      </c>
      <c r="D228" s="24"/>
      <c r="E228" s="25"/>
      <c r="F228" s="29"/>
      <c r="G228" s="29"/>
      <c r="H228" s="27"/>
      <c r="I228" s="27"/>
      <c r="J228" s="26"/>
      <c r="K228" s="28"/>
      <c r="L228" s="79"/>
      <c r="M228" s="60"/>
      <c r="N228" s="81"/>
      <c r="O228" s="81"/>
      <c r="P228" s="81"/>
    </row>
    <row r="229" spans="2:16" ht="11.25" hidden="1">
      <c r="B229" s="15">
        <v>15</v>
      </c>
      <c r="C229" s="23">
        <f t="shared" si="105"/>
        <v>1415</v>
      </c>
      <c r="D229" s="24"/>
      <c r="E229" s="25"/>
      <c r="F229" s="29"/>
      <c r="G229" s="29"/>
      <c r="H229" s="27"/>
      <c r="I229" s="27"/>
      <c r="J229" s="26"/>
      <c r="K229" s="28"/>
      <c r="L229" s="79"/>
      <c r="M229" s="60"/>
      <c r="N229" s="81"/>
      <c r="O229" s="81"/>
      <c r="P229" s="81"/>
    </row>
    <row r="230" spans="2:16" ht="11.25" hidden="1">
      <c r="B230" s="15">
        <v>16</v>
      </c>
      <c r="C230" s="23">
        <f t="shared" si="105"/>
        <v>1416</v>
      </c>
      <c r="D230" s="24"/>
      <c r="E230" s="25"/>
      <c r="F230" s="29"/>
      <c r="G230" s="29"/>
      <c r="H230" s="27"/>
      <c r="I230" s="27"/>
      <c r="J230" s="26"/>
      <c r="K230" s="28"/>
      <c r="L230" s="79"/>
      <c r="M230" s="60"/>
      <c r="N230" s="81"/>
      <c r="O230" s="81"/>
      <c r="P230" s="81"/>
    </row>
    <row r="231" spans="1:16" ht="11.25">
      <c r="A231" s="23">
        <v>15</v>
      </c>
      <c r="B231" s="15">
        <v>1</v>
      </c>
      <c r="C231" s="23">
        <f>$A$231*100+B231</f>
        <v>1501</v>
      </c>
      <c r="D231" s="24">
        <v>6</v>
      </c>
      <c r="E231" s="25" t="s">
        <v>10</v>
      </c>
      <c r="F231" s="29">
        <v>6.625</v>
      </c>
      <c r="G231" s="29">
        <v>0.109</v>
      </c>
      <c r="H231" s="27">
        <f t="shared" si="106"/>
        <v>6.407</v>
      </c>
      <c r="I231" s="27">
        <f t="shared" si="107"/>
        <v>2.231297332656227</v>
      </c>
      <c r="J231" s="26">
        <f t="shared" si="108"/>
        <v>32.240318932709904</v>
      </c>
      <c r="K231" s="28">
        <f t="shared" si="110"/>
        <v>7.585107853388901</v>
      </c>
      <c r="L231" s="60">
        <f aca="true" t="shared" si="111" ref="L231:L241">$J231*0.254^3*2.205*12</f>
        <v>13.979457531075088</v>
      </c>
      <c r="M231" s="105">
        <f aca="true" t="shared" si="112" ref="M231:M241">K231+L231</f>
        <v>21.56456538446399</v>
      </c>
      <c r="N231" s="81">
        <f t="shared" si="103"/>
        <v>11.845437925705564</v>
      </c>
      <c r="O231" s="81">
        <f t="shared" si="104"/>
        <v>3.575981260590359</v>
      </c>
      <c r="P231" s="81">
        <f t="shared" si="109"/>
        <v>2.304076197741732</v>
      </c>
    </row>
    <row r="232" spans="2:16" ht="11.25">
      <c r="B232" s="15">
        <v>2</v>
      </c>
      <c r="C232" s="23">
        <f aca="true" t="shared" si="113" ref="C232:C246">$A$231*100+B232</f>
        <v>1502</v>
      </c>
      <c r="D232" s="24">
        <v>6</v>
      </c>
      <c r="E232" s="25" t="s">
        <v>11</v>
      </c>
      <c r="F232" s="29">
        <v>6.625</v>
      </c>
      <c r="G232" s="29">
        <v>0.134</v>
      </c>
      <c r="H232" s="27">
        <f t="shared" si="106"/>
        <v>6.357</v>
      </c>
      <c r="I232" s="27">
        <f t="shared" si="107"/>
        <v>2.732538440536477</v>
      </c>
      <c r="J232" s="26">
        <f t="shared" si="108"/>
        <v>31.73907782482965</v>
      </c>
      <c r="K232" s="28">
        <f t="shared" si="110"/>
        <v>9.289034895374748</v>
      </c>
      <c r="L232" s="60">
        <f t="shared" si="111"/>
        <v>13.762118527851646</v>
      </c>
      <c r="M232" s="105">
        <f t="shared" si="112"/>
        <v>23.051153423226395</v>
      </c>
      <c r="N232" s="81">
        <f t="shared" si="103"/>
        <v>14.397416113871918</v>
      </c>
      <c r="O232" s="81">
        <f t="shared" si="104"/>
        <v>4.346389770225485</v>
      </c>
      <c r="P232" s="81">
        <f t="shared" si="109"/>
        <v>2.2954040221712604</v>
      </c>
    </row>
    <row r="233" spans="2:16" ht="11.25">
      <c r="B233" s="15">
        <v>3</v>
      </c>
      <c r="C233" s="23">
        <f t="shared" si="113"/>
        <v>1503</v>
      </c>
      <c r="D233" s="24">
        <v>6</v>
      </c>
      <c r="E233" s="25">
        <v>40</v>
      </c>
      <c r="F233" s="29">
        <v>6.625</v>
      </c>
      <c r="G233" s="29">
        <v>0.28</v>
      </c>
      <c r="H233" s="27">
        <f t="shared" si="106"/>
        <v>6.0649999999999995</v>
      </c>
      <c r="I233" s="27">
        <f t="shared" si="107"/>
        <v>5.581353508367632</v>
      </c>
      <c r="J233" s="26">
        <f t="shared" si="108"/>
        <v>28.890262756998496</v>
      </c>
      <c r="K233" s="28">
        <f t="shared" si="110"/>
        <v>18.973342418001064</v>
      </c>
      <c r="L233" s="60">
        <f t="shared" si="111"/>
        <v>12.526867433166366</v>
      </c>
      <c r="M233" s="105">
        <f t="shared" si="112"/>
        <v>31.50020985116743</v>
      </c>
      <c r="N233" s="81">
        <f t="shared" si="103"/>
        <v>28.142178567783283</v>
      </c>
      <c r="O233" s="81">
        <f t="shared" si="104"/>
        <v>8.495752020462877</v>
      </c>
      <c r="P233" s="81">
        <f t="shared" si="109"/>
        <v>2.2454794866575827</v>
      </c>
    </row>
    <row r="234" spans="2:16" ht="11.25">
      <c r="B234" s="15">
        <v>4</v>
      </c>
      <c r="C234" s="23">
        <f t="shared" si="113"/>
        <v>1504</v>
      </c>
      <c r="D234" s="24">
        <v>6</v>
      </c>
      <c r="E234" s="25" t="s">
        <v>12</v>
      </c>
      <c r="F234" s="29">
        <v>6.625</v>
      </c>
      <c r="G234" s="29">
        <v>0.28</v>
      </c>
      <c r="H234" s="27">
        <f t="shared" si="106"/>
        <v>6.0649999999999995</v>
      </c>
      <c r="I234" s="27">
        <f t="shared" si="107"/>
        <v>5.581353508367632</v>
      </c>
      <c r="J234" s="26">
        <f t="shared" si="108"/>
        <v>28.890262756998496</v>
      </c>
      <c r="K234" s="28">
        <f t="shared" si="110"/>
        <v>18.973342418001064</v>
      </c>
      <c r="L234" s="60">
        <f t="shared" si="111"/>
        <v>12.526867433166366</v>
      </c>
      <c r="M234" s="105">
        <f t="shared" si="112"/>
        <v>31.50020985116743</v>
      </c>
      <c r="N234" s="81">
        <f t="shared" si="103"/>
        <v>28.142178567783283</v>
      </c>
      <c r="O234" s="81">
        <f t="shared" si="104"/>
        <v>8.495752020462877</v>
      </c>
      <c r="P234" s="81">
        <f t="shared" si="109"/>
        <v>2.2454794866575827</v>
      </c>
    </row>
    <row r="235" spans="2:16" ht="11.25">
      <c r="B235" s="15">
        <v>5</v>
      </c>
      <c r="C235" s="23">
        <f t="shared" si="113"/>
        <v>1505</v>
      </c>
      <c r="D235" s="24">
        <v>6</v>
      </c>
      <c r="E235" s="25" t="s">
        <v>0</v>
      </c>
      <c r="F235" s="29">
        <v>6.625</v>
      </c>
      <c r="G235" s="29">
        <v>0.28</v>
      </c>
      <c r="H235" s="27">
        <f t="shared" si="106"/>
        <v>6.0649999999999995</v>
      </c>
      <c r="I235" s="27">
        <f t="shared" si="107"/>
        <v>5.581353508367632</v>
      </c>
      <c r="J235" s="26">
        <f t="shared" si="108"/>
        <v>28.890262756998496</v>
      </c>
      <c r="K235" s="28">
        <f t="shared" si="110"/>
        <v>18.973342418001064</v>
      </c>
      <c r="L235" s="60">
        <f t="shared" si="111"/>
        <v>12.526867433166366</v>
      </c>
      <c r="M235" s="105">
        <f t="shared" si="112"/>
        <v>31.50020985116743</v>
      </c>
      <c r="N235" s="81">
        <f t="shared" si="103"/>
        <v>28.142178567783283</v>
      </c>
      <c r="O235" s="81">
        <f t="shared" si="104"/>
        <v>8.495752020462877</v>
      </c>
      <c r="P235" s="81">
        <f t="shared" si="109"/>
        <v>2.2454794866575827</v>
      </c>
    </row>
    <row r="236" spans="2:16" ht="11.25">
      <c r="B236" s="15">
        <v>6</v>
      </c>
      <c r="C236" s="23">
        <f t="shared" si="113"/>
        <v>1506</v>
      </c>
      <c r="D236" s="24">
        <v>6</v>
      </c>
      <c r="E236" s="25">
        <v>80</v>
      </c>
      <c r="F236" s="29">
        <v>6.625</v>
      </c>
      <c r="G236" s="29">
        <v>0.432</v>
      </c>
      <c r="H236" s="27">
        <f t="shared" si="106"/>
        <v>5.761</v>
      </c>
      <c r="I236" s="27">
        <f t="shared" si="107"/>
        <v>8.404941587190446</v>
      </c>
      <c r="J236" s="26">
        <f t="shared" si="108"/>
        <v>26.066674678175684</v>
      </c>
      <c r="K236" s="28">
        <f t="shared" si="110"/>
        <v>28.5718929105606</v>
      </c>
      <c r="L236" s="60">
        <f t="shared" si="111"/>
        <v>11.302554804140037</v>
      </c>
      <c r="M236" s="105">
        <f t="shared" si="112"/>
        <v>39.874447714700636</v>
      </c>
      <c r="N236" s="81">
        <f t="shared" si="103"/>
        <v>40.49067266784228</v>
      </c>
      <c r="O236" s="81">
        <f t="shared" si="104"/>
        <v>12.223599295952388</v>
      </c>
      <c r="P236" s="81">
        <f t="shared" si="109"/>
        <v>2.1948767903916613</v>
      </c>
    </row>
    <row r="237" spans="2:16" ht="11.25">
      <c r="B237" s="15">
        <v>7</v>
      </c>
      <c r="C237" s="23">
        <f t="shared" si="113"/>
        <v>1507</v>
      </c>
      <c r="D237" s="24">
        <v>6</v>
      </c>
      <c r="E237" s="25" t="s">
        <v>13</v>
      </c>
      <c r="F237" s="29">
        <v>6.625</v>
      </c>
      <c r="G237" s="29">
        <v>0.432</v>
      </c>
      <c r="H237" s="27">
        <f t="shared" si="106"/>
        <v>5.761</v>
      </c>
      <c r="I237" s="27">
        <f t="shared" si="107"/>
        <v>8.404941587190446</v>
      </c>
      <c r="J237" s="26">
        <f t="shared" si="108"/>
        <v>26.066674678175684</v>
      </c>
      <c r="K237" s="28">
        <f t="shared" si="110"/>
        <v>28.5718929105606</v>
      </c>
      <c r="L237" s="60">
        <f t="shared" si="111"/>
        <v>11.302554804140037</v>
      </c>
      <c r="M237" s="105">
        <f t="shared" si="112"/>
        <v>39.874447714700636</v>
      </c>
      <c r="N237" s="81">
        <f t="shared" si="103"/>
        <v>40.49067266784228</v>
      </c>
      <c r="O237" s="81">
        <f t="shared" si="104"/>
        <v>12.223599295952388</v>
      </c>
      <c r="P237" s="81">
        <f t="shared" si="109"/>
        <v>2.1948767903916613</v>
      </c>
    </row>
    <row r="238" spans="2:16" ht="11.25">
      <c r="B238" s="15">
        <v>8</v>
      </c>
      <c r="C238" s="23">
        <f t="shared" si="113"/>
        <v>1508</v>
      </c>
      <c r="D238" s="24">
        <v>6</v>
      </c>
      <c r="E238" s="25" t="s">
        <v>1</v>
      </c>
      <c r="F238" s="29">
        <v>6.625</v>
      </c>
      <c r="G238" s="29">
        <v>0.432</v>
      </c>
      <c r="H238" s="27">
        <f t="shared" si="106"/>
        <v>5.761</v>
      </c>
      <c r="I238" s="27">
        <f t="shared" si="107"/>
        <v>8.404941587190446</v>
      </c>
      <c r="J238" s="26">
        <f t="shared" si="108"/>
        <v>26.066674678175684</v>
      </c>
      <c r="K238" s="28">
        <f t="shared" si="110"/>
        <v>28.5718929105606</v>
      </c>
      <c r="L238" s="60">
        <f t="shared" si="111"/>
        <v>11.302554804140037</v>
      </c>
      <c r="M238" s="105">
        <f t="shared" si="112"/>
        <v>39.874447714700636</v>
      </c>
      <c r="N238" s="81">
        <f t="shared" si="103"/>
        <v>40.49067266784228</v>
      </c>
      <c r="O238" s="81">
        <f t="shared" si="104"/>
        <v>12.223599295952388</v>
      </c>
      <c r="P238" s="81">
        <f t="shared" si="109"/>
        <v>2.1948767903916613</v>
      </c>
    </row>
    <row r="239" spans="2:16" ht="11.25">
      <c r="B239" s="15">
        <v>9</v>
      </c>
      <c r="C239" s="23">
        <f t="shared" si="113"/>
        <v>1509</v>
      </c>
      <c r="D239" s="24">
        <v>6</v>
      </c>
      <c r="E239" s="25">
        <v>120</v>
      </c>
      <c r="F239" s="29">
        <v>6.625</v>
      </c>
      <c r="G239" s="29">
        <v>0.562</v>
      </c>
      <c r="H239" s="27">
        <f t="shared" si="106"/>
        <v>5.5009999999999994</v>
      </c>
      <c r="I239" s="27">
        <f t="shared" si="107"/>
        <v>10.704681657397789</v>
      </c>
      <c r="J239" s="26">
        <f t="shared" si="108"/>
        <v>23.76693460796834</v>
      </c>
      <c r="K239" s="28">
        <f t="shared" si="110"/>
        <v>36.38966610106456</v>
      </c>
      <c r="L239" s="60">
        <f t="shared" si="111"/>
        <v>10.305383569231507</v>
      </c>
      <c r="M239" s="105">
        <f t="shared" si="112"/>
        <v>46.69504967029607</v>
      </c>
      <c r="N239" s="81">
        <f t="shared" si="103"/>
        <v>49.610596919276304</v>
      </c>
      <c r="O239" s="81">
        <f t="shared" si="104"/>
        <v>14.976783975630582</v>
      </c>
      <c r="P239" s="81">
        <f t="shared" si="109"/>
        <v>2.152783459849132</v>
      </c>
    </row>
    <row r="240" spans="2:16" ht="11.25">
      <c r="B240" s="15">
        <v>10</v>
      </c>
      <c r="C240" s="23">
        <f t="shared" si="113"/>
        <v>1510</v>
      </c>
      <c r="D240" s="24">
        <v>6</v>
      </c>
      <c r="E240" s="25">
        <v>160</v>
      </c>
      <c r="F240" s="29">
        <v>6.625</v>
      </c>
      <c r="G240" s="29">
        <v>0.718</v>
      </c>
      <c r="H240" s="27">
        <f aca="true" t="shared" si="114" ref="H240:H259">F240-2*G240</f>
        <v>5.189</v>
      </c>
      <c r="I240" s="27">
        <f aca="true" t="shared" si="115" ref="I240:I259">PI()*(F240^2-H240^2)/4</f>
        <v>13.324204443814024</v>
      </c>
      <c r="J240" s="26">
        <f aca="true" t="shared" si="116" ref="J240:J259">PI()*H240^2/4</f>
        <v>21.147411821552105</v>
      </c>
      <c r="K240" s="28">
        <f t="shared" si="110"/>
        <v>45.29451377357249</v>
      </c>
      <c r="L240" s="60">
        <f t="shared" si="111"/>
        <v>9.169554000646304</v>
      </c>
      <c r="M240" s="105">
        <f t="shared" si="112"/>
        <v>54.46406777421879</v>
      </c>
      <c r="N240" s="81">
        <f t="shared" si="103"/>
        <v>58.97321700424197</v>
      </c>
      <c r="O240" s="81">
        <f t="shared" si="104"/>
        <v>17.80323532203531</v>
      </c>
      <c r="P240" s="81">
        <f t="shared" si="109"/>
        <v>2.103811214201502</v>
      </c>
    </row>
    <row r="241" spans="2:16" ht="11.25">
      <c r="B241" s="15">
        <v>11</v>
      </c>
      <c r="C241" s="23">
        <f t="shared" si="113"/>
        <v>1511</v>
      </c>
      <c r="D241" s="24">
        <v>6</v>
      </c>
      <c r="E241" s="25" t="s">
        <v>2</v>
      </c>
      <c r="F241" s="29">
        <v>6.625</v>
      </c>
      <c r="G241" s="29">
        <v>0.864</v>
      </c>
      <c r="H241" s="27">
        <f t="shared" si="114"/>
        <v>4.897</v>
      </c>
      <c r="I241" s="27">
        <f t="shared" si="115"/>
        <v>15.63728999961381</v>
      </c>
      <c r="J241" s="26">
        <f t="shared" si="116"/>
        <v>18.83432626575232</v>
      </c>
      <c r="K241" s="28">
        <f t="shared" si="110"/>
        <v>53.15765382132718</v>
      </c>
      <c r="L241" s="60">
        <f t="shared" si="111"/>
        <v>8.166596140318203</v>
      </c>
      <c r="M241" s="105">
        <f t="shared" si="112"/>
        <v>61.324249961645386</v>
      </c>
      <c r="N241" s="81">
        <f t="shared" si="103"/>
        <v>66.33263554310305</v>
      </c>
      <c r="O241" s="81">
        <f t="shared" si="104"/>
        <v>20.024946579049978</v>
      </c>
      <c r="P241" s="81">
        <f t="shared" si="109"/>
        <v>2.0595999915032044</v>
      </c>
    </row>
    <row r="242" spans="2:16" ht="11.25" hidden="1">
      <c r="B242" s="15">
        <v>12</v>
      </c>
      <c r="C242" s="23">
        <f t="shared" si="113"/>
        <v>1512</v>
      </c>
      <c r="D242" s="24"/>
      <c r="E242" s="25"/>
      <c r="F242" s="29"/>
      <c r="G242" s="29"/>
      <c r="H242" s="27"/>
      <c r="I242" s="27"/>
      <c r="J242" s="26"/>
      <c r="K242" s="28"/>
      <c r="L242" s="79"/>
      <c r="M242" s="60"/>
      <c r="N242" s="81"/>
      <c r="O242" s="81"/>
      <c r="P242" s="81"/>
    </row>
    <row r="243" spans="2:16" ht="11.25" hidden="1">
      <c r="B243" s="15">
        <v>13</v>
      </c>
      <c r="C243" s="23">
        <f t="shared" si="113"/>
        <v>1513</v>
      </c>
      <c r="D243" s="24"/>
      <c r="E243" s="25"/>
      <c r="F243" s="29"/>
      <c r="G243" s="29"/>
      <c r="H243" s="27"/>
      <c r="I243" s="27"/>
      <c r="J243" s="26"/>
      <c r="K243" s="28"/>
      <c r="L243" s="79"/>
      <c r="M243" s="60"/>
      <c r="N243" s="81"/>
      <c r="O243" s="81"/>
      <c r="P243" s="81"/>
    </row>
    <row r="244" spans="2:16" ht="11.25" hidden="1">
      <c r="B244" s="15">
        <v>14</v>
      </c>
      <c r="C244" s="23">
        <f t="shared" si="113"/>
        <v>1514</v>
      </c>
      <c r="D244" s="24"/>
      <c r="E244" s="25"/>
      <c r="F244" s="29"/>
      <c r="G244" s="29"/>
      <c r="H244" s="27"/>
      <c r="I244" s="27"/>
      <c r="J244" s="26"/>
      <c r="K244" s="28"/>
      <c r="L244" s="79"/>
      <c r="M244" s="60"/>
      <c r="N244" s="81"/>
      <c r="O244" s="81"/>
      <c r="P244" s="81"/>
    </row>
    <row r="245" spans="2:16" ht="11.25" hidden="1">
      <c r="B245" s="15">
        <v>15</v>
      </c>
      <c r="C245" s="23">
        <f t="shared" si="113"/>
        <v>1515</v>
      </c>
      <c r="D245" s="24"/>
      <c r="E245" s="25"/>
      <c r="F245" s="29"/>
      <c r="G245" s="29"/>
      <c r="H245" s="27"/>
      <c r="I245" s="27"/>
      <c r="J245" s="26"/>
      <c r="K245" s="28"/>
      <c r="L245" s="79"/>
      <c r="M245" s="60"/>
      <c r="N245" s="81"/>
      <c r="O245" s="81"/>
      <c r="P245" s="81"/>
    </row>
    <row r="246" spans="2:16" ht="11.25" hidden="1">
      <c r="B246" s="15">
        <v>16</v>
      </c>
      <c r="C246" s="23">
        <f t="shared" si="113"/>
        <v>1516</v>
      </c>
      <c r="D246" s="24"/>
      <c r="E246" s="25"/>
      <c r="F246" s="29"/>
      <c r="G246" s="29"/>
      <c r="H246" s="27"/>
      <c r="I246" s="27"/>
      <c r="J246" s="26"/>
      <c r="K246" s="28"/>
      <c r="L246" s="79"/>
      <c r="M246" s="60"/>
      <c r="N246" s="81"/>
      <c r="O246" s="81"/>
      <c r="P246" s="81"/>
    </row>
    <row r="247" spans="1:16" ht="11.25">
      <c r="A247" s="23">
        <v>16</v>
      </c>
      <c r="B247" s="15">
        <v>1</v>
      </c>
      <c r="C247" s="23">
        <f>$A$247*100+B247</f>
        <v>1601</v>
      </c>
      <c r="D247" s="24">
        <v>8</v>
      </c>
      <c r="E247" s="25" t="s">
        <v>10</v>
      </c>
      <c r="F247" s="29">
        <v>8.625</v>
      </c>
      <c r="G247" s="29">
        <v>0.109</v>
      </c>
      <c r="H247" s="27">
        <f t="shared" si="114"/>
        <v>8.407</v>
      </c>
      <c r="I247" s="27">
        <f t="shared" si="115"/>
        <v>2.916164531138802</v>
      </c>
      <c r="J247" s="26">
        <f t="shared" si="116"/>
        <v>55.5100957178495</v>
      </c>
      <c r="K247" s="28">
        <f t="shared" si="110"/>
        <v>9.913256365785742</v>
      </c>
      <c r="L247" s="60">
        <f aca="true" t="shared" si="117" ref="L247:L277">$J247*0.254^3*2.205*12</f>
        <v>24.069272616477953</v>
      </c>
      <c r="M247" s="105">
        <f aca="true" t="shared" si="118" ref="M247:M277">K247+L247</f>
        <v>33.982528982263695</v>
      </c>
      <c r="N247" s="81">
        <f t="shared" si="103"/>
        <v>26.44018470202031</v>
      </c>
      <c r="O247" s="81">
        <f t="shared" si="104"/>
        <v>6.131057322207608</v>
      </c>
      <c r="P247" s="81">
        <f t="shared" si="109"/>
        <v>3.011107292176749</v>
      </c>
    </row>
    <row r="248" spans="2:16" ht="11.25">
      <c r="B248" s="15">
        <v>2</v>
      </c>
      <c r="C248" s="23">
        <f aca="true" t="shared" si="119" ref="C248:C262">$A$247*100+B248</f>
        <v>1602</v>
      </c>
      <c r="D248" s="24">
        <v>8</v>
      </c>
      <c r="E248" s="25" t="s">
        <v>11</v>
      </c>
      <c r="F248" s="29">
        <v>8.625</v>
      </c>
      <c r="G248" s="29">
        <v>0.148</v>
      </c>
      <c r="H248" s="27">
        <f t="shared" si="114"/>
        <v>8.329</v>
      </c>
      <c r="I248" s="27">
        <f t="shared" si="115"/>
        <v>3.941429576823127</v>
      </c>
      <c r="J248" s="26">
        <f t="shared" si="116"/>
        <v>54.484830672165174</v>
      </c>
      <c r="K248" s="28">
        <f t="shared" si="110"/>
        <v>13.398558766325767</v>
      </c>
      <c r="L248" s="60">
        <f t="shared" si="117"/>
        <v>23.624715935939086</v>
      </c>
      <c r="M248" s="105">
        <f t="shared" si="118"/>
        <v>37.02327470226486</v>
      </c>
      <c r="N248" s="81">
        <f t="shared" si="103"/>
        <v>35.41445075632873</v>
      </c>
      <c r="O248" s="81">
        <f t="shared" si="104"/>
        <v>8.21204655219217</v>
      </c>
      <c r="P248" s="81">
        <f t="shared" si="109"/>
        <v>2.9975288363917363</v>
      </c>
    </row>
    <row r="249" spans="2:16" ht="11.25">
      <c r="B249" s="15">
        <v>3</v>
      </c>
      <c r="C249" s="23">
        <f t="shared" si="119"/>
        <v>1603</v>
      </c>
      <c r="D249" s="24">
        <v>8</v>
      </c>
      <c r="E249" s="25">
        <v>20</v>
      </c>
      <c r="F249" s="29">
        <v>8.625</v>
      </c>
      <c r="G249" s="29">
        <v>0.25</v>
      </c>
      <c r="H249" s="27">
        <f>F249-2*G249</f>
        <v>8.125</v>
      </c>
      <c r="I249" s="27">
        <f>PI()*(F249^2-H249^2)/4</f>
        <v>6.577709618453629</v>
      </c>
      <c r="J249" s="26">
        <f>PI()*H249^2/4</f>
        <v>51.848550630534675</v>
      </c>
      <c r="K249" s="28">
        <f t="shared" si="110"/>
        <v>22.36037132032516</v>
      </c>
      <c r="L249" s="60">
        <f t="shared" si="117"/>
        <v>22.481620392780428</v>
      </c>
      <c r="M249" s="105">
        <f t="shared" si="118"/>
        <v>44.841991713105585</v>
      </c>
      <c r="N249" s="81">
        <f t="shared" si="103"/>
        <v>57.7219713197503</v>
      </c>
      <c r="O249" s="81">
        <f t="shared" si="104"/>
        <v>13.384804943710215</v>
      </c>
      <c r="P249" s="81">
        <f t="shared" si="109"/>
        <v>2.9623285815385167</v>
      </c>
    </row>
    <row r="250" spans="2:16" ht="11.25">
      <c r="B250" s="15">
        <v>4</v>
      </c>
      <c r="C250" s="23">
        <f t="shared" si="119"/>
        <v>1604</v>
      </c>
      <c r="D250" s="24">
        <v>8</v>
      </c>
      <c r="E250" s="25">
        <v>30</v>
      </c>
      <c r="F250" s="29">
        <v>8.625</v>
      </c>
      <c r="G250" s="29">
        <v>0.277</v>
      </c>
      <c r="H250" s="27">
        <f>F250-2*G250</f>
        <v>8.071</v>
      </c>
      <c r="I250" s="27">
        <f>PI()*(F250^2-H250^2)/4</f>
        <v>7.264606285790422</v>
      </c>
      <c r="J250" s="26">
        <f>PI()*H250^2/4</f>
        <v>51.16165396319788</v>
      </c>
      <c r="K250" s="28">
        <f t="shared" si="110"/>
        <v>24.695418841616533</v>
      </c>
      <c r="L250" s="60">
        <f t="shared" si="117"/>
        <v>22.183780820866968</v>
      </c>
      <c r="M250" s="105">
        <f t="shared" si="118"/>
        <v>46.8791996624835</v>
      </c>
      <c r="N250" s="81">
        <f t="shared" si="103"/>
        <v>63.3526636181506</v>
      </c>
      <c r="O250" s="81">
        <f t="shared" si="104"/>
        <v>14.690472723049414</v>
      </c>
      <c r="P250" s="81">
        <f t="shared" si="109"/>
        <v>2.9530880659066026</v>
      </c>
    </row>
    <row r="251" spans="2:16" ht="11.25">
      <c r="B251" s="15">
        <v>5</v>
      </c>
      <c r="C251" s="23">
        <f t="shared" si="119"/>
        <v>1605</v>
      </c>
      <c r="D251" s="24">
        <v>8</v>
      </c>
      <c r="E251" s="25">
        <v>40</v>
      </c>
      <c r="F251" s="29">
        <v>8.625</v>
      </c>
      <c r="G251" s="29">
        <v>0.322</v>
      </c>
      <c r="H251" s="27">
        <f t="shared" si="114"/>
        <v>7.981</v>
      </c>
      <c r="I251" s="27">
        <f t="shared" si="115"/>
        <v>8.399255304487452</v>
      </c>
      <c r="J251" s="26">
        <f t="shared" si="116"/>
        <v>50.02700494450085</v>
      </c>
      <c r="K251" s="28">
        <f t="shared" si="110"/>
        <v>28.552562870159516</v>
      </c>
      <c r="L251" s="60">
        <f t="shared" si="117"/>
        <v>21.69179506220692</v>
      </c>
      <c r="M251" s="105">
        <f t="shared" si="118"/>
        <v>50.24435793236644</v>
      </c>
      <c r="N251" s="81">
        <f t="shared" si="103"/>
        <v>72.48924060257403</v>
      </c>
      <c r="O251" s="81">
        <f t="shared" si="104"/>
        <v>16.809099270162093</v>
      </c>
      <c r="P251" s="81">
        <f t="shared" si="109"/>
        <v>2.9377604778129887</v>
      </c>
    </row>
    <row r="252" spans="2:16" ht="11.25">
      <c r="B252" s="15">
        <v>6</v>
      </c>
      <c r="C252" s="23">
        <f t="shared" si="119"/>
        <v>1606</v>
      </c>
      <c r="D252" s="24">
        <v>8</v>
      </c>
      <c r="E252" s="25" t="s">
        <v>12</v>
      </c>
      <c r="F252" s="29">
        <v>8.625</v>
      </c>
      <c r="G252" s="29">
        <v>0.322</v>
      </c>
      <c r="H252" s="27">
        <f t="shared" si="114"/>
        <v>7.981</v>
      </c>
      <c r="I252" s="27">
        <f t="shared" si="115"/>
        <v>8.399255304487452</v>
      </c>
      <c r="J252" s="26">
        <f t="shared" si="116"/>
        <v>50.02700494450085</v>
      </c>
      <c r="K252" s="28">
        <f t="shared" si="110"/>
        <v>28.552562870159516</v>
      </c>
      <c r="L252" s="60">
        <f t="shared" si="117"/>
        <v>21.69179506220692</v>
      </c>
      <c r="M252" s="105">
        <f t="shared" si="118"/>
        <v>50.24435793236644</v>
      </c>
      <c r="N252" s="81">
        <f t="shared" si="103"/>
        <v>72.48924060257403</v>
      </c>
      <c r="O252" s="81">
        <f t="shared" si="104"/>
        <v>16.809099270162093</v>
      </c>
      <c r="P252" s="81">
        <f t="shared" si="109"/>
        <v>2.9377604778129887</v>
      </c>
    </row>
    <row r="253" spans="2:16" ht="11.25">
      <c r="B253" s="15">
        <v>7</v>
      </c>
      <c r="C253" s="23">
        <f t="shared" si="119"/>
        <v>1607</v>
      </c>
      <c r="D253" s="24">
        <v>8</v>
      </c>
      <c r="E253" s="25" t="s">
        <v>0</v>
      </c>
      <c r="F253" s="29">
        <v>8.625</v>
      </c>
      <c r="G253" s="29">
        <v>0.322</v>
      </c>
      <c r="H253" s="27">
        <f t="shared" si="114"/>
        <v>7.981</v>
      </c>
      <c r="I253" s="27">
        <f t="shared" si="115"/>
        <v>8.399255304487452</v>
      </c>
      <c r="J253" s="26">
        <f t="shared" si="116"/>
        <v>50.02700494450085</v>
      </c>
      <c r="K253" s="28">
        <f t="shared" si="110"/>
        <v>28.552562870159516</v>
      </c>
      <c r="L253" s="60">
        <f t="shared" si="117"/>
        <v>21.69179506220692</v>
      </c>
      <c r="M253" s="105">
        <f t="shared" si="118"/>
        <v>50.24435793236644</v>
      </c>
      <c r="N253" s="81">
        <f t="shared" si="103"/>
        <v>72.48924060257403</v>
      </c>
      <c r="O253" s="81">
        <f t="shared" si="104"/>
        <v>16.809099270162093</v>
      </c>
      <c r="P253" s="81">
        <f t="shared" si="109"/>
        <v>2.9377604778129887</v>
      </c>
    </row>
    <row r="254" spans="2:16" ht="11.25">
      <c r="B254" s="15">
        <v>8</v>
      </c>
      <c r="C254" s="23">
        <f t="shared" si="119"/>
        <v>1608</v>
      </c>
      <c r="D254" s="24">
        <v>8</v>
      </c>
      <c r="E254" s="25">
        <v>60</v>
      </c>
      <c r="F254" s="29">
        <v>8.625</v>
      </c>
      <c r="G254" s="29">
        <v>0.406</v>
      </c>
      <c r="H254" s="27">
        <f>F254-2*G254</f>
        <v>7.813</v>
      </c>
      <c r="I254" s="27">
        <f>PI()*(F254^2-H254^2)/4</f>
        <v>10.483224508060937</v>
      </c>
      <c r="J254" s="26">
        <f>PI()*H254^2/4</f>
        <v>47.943035740927364</v>
      </c>
      <c r="K254" s="28">
        <f t="shared" si="110"/>
        <v>35.63684112429448</v>
      </c>
      <c r="L254" s="60">
        <f t="shared" si="117"/>
        <v>20.788182444781267</v>
      </c>
      <c r="M254" s="105">
        <f t="shared" si="118"/>
        <v>56.42502356907575</v>
      </c>
      <c r="N254" s="81">
        <f t="shared" si="103"/>
        <v>88.73629823972341</v>
      </c>
      <c r="O254" s="81">
        <f t="shared" si="104"/>
        <v>20.576532925153256</v>
      </c>
      <c r="P254" s="81">
        <f t="shared" si="109"/>
        <v>2.9093984988309867</v>
      </c>
    </row>
    <row r="255" spans="2:16" ht="11.25">
      <c r="B255" s="15">
        <v>9</v>
      </c>
      <c r="C255" s="23">
        <f t="shared" si="119"/>
        <v>1609</v>
      </c>
      <c r="D255" s="24">
        <v>8</v>
      </c>
      <c r="E255" s="25">
        <v>80</v>
      </c>
      <c r="F255" s="29">
        <v>8.625</v>
      </c>
      <c r="G255" s="29">
        <v>0.5</v>
      </c>
      <c r="H255" s="27">
        <f t="shared" si="114"/>
        <v>7.625</v>
      </c>
      <c r="I255" s="27">
        <f t="shared" si="115"/>
        <v>12.762720155208534</v>
      </c>
      <c r="J255" s="26">
        <f t="shared" si="116"/>
        <v>45.663540093779766</v>
      </c>
      <c r="K255" s="28">
        <f t="shared" si="110"/>
        <v>43.38579509913837</v>
      </c>
      <c r="L255" s="60">
        <f t="shared" si="117"/>
        <v>19.799789226399046</v>
      </c>
      <c r="M255" s="105">
        <f t="shared" si="118"/>
        <v>63.18558432553742</v>
      </c>
      <c r="N255" s="29">
        <f t="shared" si="103"/>
        <v>105.71620347312381</v>
      </c>
      <c r="O255" s="81">
        <f t="shared" si="104"/>
        <v>24.513902254637404</v>
      </c>
      <c r="P255" s="81">
        <f t="shared" si="109"/>
        <v>2.878055441613313</v>
      </c>
    </row>
    <row r="256" spans="2:16" ht="11.25">
      <c r="B256" s="15">
        <v>10</v>
      </c>
      <c r="C256" s="23">
        <f t="shared" si="119"/>
        <v>1610</v>
      </c>
      <c r="D256" s="24">
        <v>8</v>
      </c>
      <c r="E256" s="25" t="s">
        <v>13</v>
      </c>
      <c r="F256" s="29">
        <v>8.625</v>
      </c>
      <c r="G256" s="29">
        <v>0.5</v>
      </c>
      <c r="H256" s="27">
        <f t="shared" si="114"/>
        <v>7.625</v>
      </c>
      <c r="I256" s="27">
        <f t="shared" si="115"/>
        <v>12.762720155208534</v>
      </c>
      <c r="J256" s="26">
        <f t="shared" si="116"/>
        <v>45.663540093779766</v>
      </c>
      <c r="K256" s="28">
        <f t="shared" si="110"/>
        <v>43.38579509913837</v>
      </c>
      <c r="L256" s="60">
        <f t="shared" si="117"/>
        <v>19.799789226399046</v>
      </c>
      <c r="M256" s="105">
        <f t="shared" si="118"/>
        <v>63.18558432553742</v>
      </c>
      <c r="N256" s="29">
        <f t="shared" si="103"/>
        <v>105.71620347312381</v>
      </c>
      <c r="O256" s="81">
        <f t="shared" si="104"/>
        <v>24.513902254637404</v>
      </c>
      <c r="P256" s="81">
        <f t="shared" si="109"/>
        <v>2.878055441613313</v>
      </c>
    </row>
    <row r="257" spans="2:16" ht="11.25">
      <c r="B257" s="15">
        <v>11</v>
      </c>
      <c r="C257" s="23">
        <f t="shared" si="119"/>
        <v>1611</v>
      </c>
      <c r="D257" s="24">
        <v>8</v>
      </c>
      <c r="E257" s="25" t="s">
        <v>1</v>
      </c>
      <c r="F257" s="29">
        <v>8.625</v>
      </c>
      <c r="G257" s="29">
        <v>0.5</v>
      </c>
      <c r="H257" s="27">
        <f t="shared" si="114"/>
        <v>7.625</v>
      </c>
      <c r="I257" s="27">
        <f t="shared" si="115"/>
        <v>12.762720155208534</v>
      </c>
      <c r="J257" s="26">
        <f t="shared" si="116"/>
        <v>45.663540093779766</v>
      </c>
      <c r="K257" s="28">
        <f t="shared" si="110"/>
        <v>43.38579509913837</v>
      </c>
      <c r="L257" s="60">
        <f t="shared" si="117"/>
        <v>19.799789226399046</v>
      </c>
      <c r="M257" s="105">
        <f t="shared" si="118"/>
        <v>63.18558432553742</v>
      </c>
      <c r="N257" s="29">
        <f t="shared" si="103"/>
        <v>105.71620347312381</v>
      </c>
      <c r="O257" s="81">
        <f t="shared" si="104"/>
        <v>24.513902254637404</v>
      </c>
      <c r="P257" s="81">
        <f t="shared" si="109"/>
        <v>2.878055441613313</v>
      </c>
    </row>
    <row r="258" spans="2:16" ht="11.25">
      <c r="B258" s="15">
        <v>12</v>
      </c>
      <c r="C258" s="23">
        <f t="shared" si="119"/>
        <v>1612</v>
      </c>
      <c r="D258" s="24">
        <v>8</v>
      </c>
      <c r="E258" s="25">
        <v>100</v>
      </c>
      <c r="F258" s="29">
        <v>8.625</v>
      </c>
      <c r="G258" s="29">
        <v>0.593</v>
      </c>
      <c r="H258" s="27">
        <f>F258-2*G258</f>
        <v>7.439</v>
      </c>
      <c r="I258" s="27">
        <f>PI()*(F258^2-H258^2)/4</f>
        <v>14.963330410824499</v>
      </c>
      <c r="J258" s="26">
        <f>PI()*H258^2/4</f>
        <v>43.4629298381638</v>
      </c>
      <c r="K258" s="28">
        <f t="shared" si="110"/>
        <v>50.866584811843374</v>
      </c>
      <c r="L258" s="60">
        <f t="shared" si="117"/>
        <v>18.84560084895033</v>
      </c>
      <c r="M258" s="105">
        <f t="shared" si="118"/>
        <v>69.71218566079371</v>
      </c>
      <c r="N258" s="29">
        <f t="shared" si="103"/>
        <v>121.32394176113586</v>
      </c>
      <c r="O258" s="81">
        <f t="shared" si="104"/>
        <v>28.133087944611212</v>
      </c>
      <c r="P258" s="81">
        <f t="shared" si="109"/>
        <v>2.847469775959001</v>
      </c>
    </row>
    <row r="259" spans="2:16" ht="11.25">
      <c r="B259" s="15">
        <v>13</v>
      </c>
      <c r="C259" s="23">
        <f t="shared" si="119"/>
        <v>1613</v>
      </c>
      <c r="D259" s="24">
        <v>8</v>
      </c>
      <c r="E259" s="25">
        <v>120</v>
      </c>
      <c r="F259" s="29">
        <v>8.625</v>
      </c>
      <c r="G259" s="29">
        <v>0.718</v>
      </c>
      <c r="H259" s="27">
        <f t="shared" si="114"/>
        <v>7.189</v>
      </c>
      <c r="I259" s="27">
        <f t="shared" si="115"/>
        <v>17.835531494368965</v>
      </c>
      <c r="J259" s="26">
        <f t="shared" si="116"/>
        <v>40.590728754619334</v>
      </c>
      <c r="K259" s="28">
        <f t="shared" si="110"/>
        <v>60.63039113046177</v>
      </c>
      <c r="L259" s="60">
        <f t="shared" si="117"/>
        <v>17.60020953778122</v>
      </c>
      <c r="M259" s="105">
        <f t="shared" si="118"/>
        <v>78.23060066824299</v>
      </c>
      <c r="N259" s="29">
        <f t="shared" si="103"/>
        <v>140.53545610324883</v>
      </c>
      <c r="O259" s="81">
        <f t="shared" si="104"/>
        <v>32.58793185002872</v>
      </c>
      <c r="P259" s="81">
        <f t="shared" si="109"/>
        <v>2.80704856121158</v>
      </c>
    </row>
    <row r="260" spans="2:16" ht="11.25">
      <c r="B260" s="15">
        <v>14</v>
      </c>
      <c r="C260" s="23">
        <f t="shared" si="119"/>
        <v>1614</v>
      </c>
      <c r="D260" s="24">
        <v>8</v>
      </c>
      <c r="E260" s="25">
        <v>140</v>
      </c>
      <c r="F260" s="29">
        <v>8.625</v>
      </c>
      <c r="G260" s="29">
        <v>0.812</v>
      </c>
      <c r="H260" s="27">
        <f>F260-2*G260</f>
        <v>7.0009999999999994</v>
      </c>
      <c r="I260" s="27">
        <f>PI()*(F260^2-H260^2)/4</f>
        <v>19.930753882827613</v>
      </c>
      <c r="J260" s="26">
        <f>PI()*H260^2/4</f>
        <v>38.49550636616069</v>
      </c>
      <c r="K260" s="28">
        <f t="shared" si="110"/>
        <v>67.75292364134631</v>
      </c>
      <c r="L260" s="60">
        <f t="shared" si="117"/>
        <v>16.691717520107705</v>
      </c>
      <c r="M260" s="105">
        <f t="shared" si="118"/>
        <v>84.44464116145402</v>
      </c>
      <c r="N260" s="29">
        <f t="shared" si="103"/>
        <v>153.72170180052433</v>
      </c>
      <c r="O260" s="81">
        <f t="shared" si="104"/>
        <v>35.645612011715784</v>
      </c>
      <c r="P260" s="81">
        <f t="shared" si="109"/>
        <v>2.777190869385826</v>
      </c>
    </row>
    <row r="261" spans="2:16" ht="11.25">
      <c r="B261" s="15">
        <v>15</v>
      </c>
      <c r="C261" s="23">
        <f t="shared" si="119"/>
        <v>1615</v>
      </c>
      <c r="D261" s="24">
        <v>8</v>
      </c>
      <c r="E261" s="25" t="s">
        <v>2</v>
      </c>
      <c r="F261" s="29">
        <v>8.625</v>
      </c>
      <c r="G261" s="29">
        <v>0.875</v>
      </c>
      <c r="H261" s="27">
        <f>F261-2*G261</f>
        <v>6.875</v>
      </c>
      <c r="I261" s="27">
        <f>PI()*(F261^2-H261^2)/4</f>
        <v>21.303925182155783</v>
      </c>
      <c r="J261" s="26">
        <f>PI()*H261^2/4</f>
        <v>37.12233506683252</v>
      </c>
      <c r="K261" s="28">
        <f t="shared" si="110"/>
        <v>72.42090412702328</v>
      </c>
      <c r="L261" s="60">
        <f t="shared" si="117"/>
        <v>16.09630809187238</v>
      </c>
      <c r="M261" s="105">
        <f t="shared" si="118"/>
        <v>88.51721221889565</v>
      </c>
      <c r="N261" s="29">
        <f t="shared" si="103"/>
        <v>161.9847279963525</v>
      </c>
      <c r="O261" s="81">
        <f t="shared" si="104"/>
        <v>37.56167605712521</v>
      </c>
      <c r="P261" s="81">
        <f t="shared" si="109"/>
        <v>2.7574473023069728</v>
      </c>
    </row>
    <row r="262" spans="2:16" ht="11.25">
      <c r="B262" s="15">
        <v>16</v>
      </c>
      <c r="C262" s="23">
        <f t="shared" si="119"/>
        <v>1616</v>
      </c>
      <c r="D262" s="24">
        <v>8</v>
      </c>
      <c r="E262" s="25">
        <v>160</v>
      </c>
      <c r="F262" s="29">
        <v>8.625</v>
      </c>
      <c r="G262" s="29">
        <v>0.906</v>
      </c>
      <c r="H262" s="27">
        <f aca="true" t="shared" si="120" ref="H262:H277">F262-2*G262</f>
        <v>6.813</v>
      </c>
      <c r="I262" s="27">
        <f aca="true" t="shared" si="121" ref="I262:I277">PI()*(F262^2-H262^2)/4</f>
        <v>21.970458045912014</v>
      </c>
      <c r="J262" s="26">
        <f aca="true" t="shared" si="122" ref="J262:J277">PI()*H262^2/4</f>
        <v>36.45580220307629</v>
      </c>
      <c r="K262" s="28">
        <f t="shared" si="110"/>
        <v>74.68672660860203</v>
      </c>
      <c r="L262" s="60">
        <f t="shared" si="117"/>
        <v>15.807298300083605</v>
      </c>
      <c r="M262" s="105">
        <f t="shared" si="118"/>
        <v>90.49402490868563</v>
      </c>
      <c r="N262" s="29">
        <f t="shared" si="103"/>
        <v>165.88738597528572</v>
      </c>
      <c r="O262" s="81">
        <f t="shared" si="104"/>
        <v>38.46664022615321</v>
      </c>
      <c r="P262" s="81">
        <f t="shared" si="109"/>
        <v>2.747812698311149</v>
      </c>
    </row>
    <row r="263" spans="1:16" ht="11.25">
      <c r="A263" s="23">
        <v>17</v>
      </c>
      <c r="B263" s="15">
        <v>1</v>
      </c>
      <c r="C263" s="23">
        <f>$A$263*100+B263</f>
        <v>1701</v>
      </c>
      <c r="D263" s="24">
        <v>10</v>
      </c>
      <c r="E263" s="25" t="s">
        <v>10</v>
      </c>
      <c r="F263" s="29">
        <v>10.75</v>
      </c>
      <c r="G263" s="29">
        <v>0.134</v>
      </c>
      <c r="H263" s="27">
        <f t="shared" si="120"/>
        <v>10.482</v>
      </c>
      <c r="I263" s="27">
        <f t="shared" si="121"/>
        <v>4.469053779808245</v>
      </c>
      <c r="J263" s="26">
        <f t="shared" si="122"/>
        <v>86.29352147780938</v>
      </c>
      <c r="K263" s="28">
        <f t="shared" si="110"/>
        <v>15.192172923940626</v>
      </c>
      <c r="L263" s="60">
        <f t="shared" si="117"/>
        <v>37.41701877154959</v>
      </c>
      <c r="M263" s="105">
        <f t="shared" si="118"/>
        <v>52.60919169549022</v>
      </c>
      <c r="N263" s="81">
        <f t="shared" si="103"/>
        <v>62.96752201860036</v>
      </c>
      <c r="O263" s="81">
        <f t="shared" si="104"/>
        <v>11.714887817414022</v>
      </c>
      <c r="P263" s="81">
        <f t="shared" si="109"/>
        <v>3.7536217843570747</v>
      </c>
    </row>
    <row r="264" spans="2:16" ht="11.25">
      <c r="B264" s="15">
        <v>2</v>
      </c>
      <c r="C264" s="23">
        <f aca="true" t="shared" si="123" ref="C264:C278">$A$263*100+B264</f>
        <v>1702</v>
      </c>
      <c r="D264" s="24">
        <v>10</v>
      </c>
      <c r="E264" s="25" t="s">
        <v>11</v>
      </c>
      <c r="F264" s="29">
        <v>10.75</v>
      </c>
      <c r="G264" s="29">
        <v>0.165</v>
      </c>
      <c r="H264" s="27">
        <f t="shared" si="120"/>
        <v>10.42</v>
      </c>
      <c r="I264" s="27">
        <f t="shared" si="121"/>
        <v>5.486870109310919</v>
      </c>
      <c r="J264" s="26">
        <f t="shared" si="122"/>
        <v>85.2757051483067</v>
      </c>
      <c r="K264" s="28">
        <f t="shared" si="110"/>
        <v>18.652154039513288</v>
      </c>
      <c r="L264" s="60">
        <f t="shared" si="117"/>
        <v>36.975691867110015</v>
      </c>
      <c r="M264" s="105">
        <f t="shared" si="118"/>
        <v>55.62784590662331</v>
      </c>
      <c r="N264" s="81">
        <f t="shared" si="103"/>
        <v>76.86381442148931</v>
      </c>
      <c r="O264" s="81">
        <f t="shared" si="104"/>
        <v>14.300244543532894</v>
      </c>
      <c r="P264" s="81">
        <f t="shared" si="109"/>
        <v>3.7428172878194306</v>
      </c>
    </row>
    <row r="265" spans="2:16" ht="11.25">
      <c r="B265" s="15">
        <v>3</v>
      </c>
      <c r="C265" s="23">
        <f t="shared" si="123"/>
        <v>1703</v>
      </c>
      <c r="D265" s="24">
        <v>10</v>
      </c>
      <c r="E265" s="25">
        <v>20</v>
      </c>
      <c r="F265" s="29">
        <v>10.75</v>
      </c>
      <c r="G265" s="29">
        <v>0.25</v>
      </c>
      <c r="H265" s="27">
        <f t="shared" si="120"/>
        <v>10.25</v>
      </c>
      <c r="I265" s="27">
        <f t="shared" si="121"/>
        <v>8.246680715673207</v>
      </c>
      <c r="J265" s="26">
        <f t="shared" si="122"/>
        <v>82.5158945419444</v>
      </c>
      <c r="K265" s="28">
        <f t="shared" si="110"/>
        <v>28.03389837175095</v>
      </c>
      <c r="L265" s="60">
        <f t="shared" si="117"/>
        <v>35.77903325942144</v>
      </c>
      <c r="M265" s="105">
        <f t="shared" si="118"/>
        <v>63.81293163117239</v>
      </c>
      <c r="N265" s="29">
        <f t="shared" si="103"/>
        <v>113.71399580596258</v>
      </c>
      <c r="O265" s="81">
        <f t="shared" si="104"/>
        <v>21.156092242969784</v>
      </c>
      <c r="P265" s="81">
        <f t="shared" si="109"/>
        <v>3.713362694378237</v>
      </c>
    </row>
    <row r="266" spans="2:16" ht="11.25">
      <c r="B266" s="15">
        <v>4</v>
      </c>
      <c r="C266" s="23">
        <f t="shared" si="123"/>
        <v>1704</v>
      </c>
      <c r="D266" s="24">
        <v>10</v>
      </c>
      <c r="E266" s="25">
        <v>30</v>
      </c>
      <c r="F266" s="29">
        <v>10.75</v>
      </c>
      <c r="G266" s="29">
        <v>0.307</v>
      </c>
      <c r="H266" s="27">
        <f t="shared" si="120"/>
        <v>10.136</v>
      </c>
      <c r="I266" s="27">
        <f t="shared" si="121"/>
        <v>10.071949189001543</v>
      </c>
      <c r="J266" s="26">
        <f t="shared" si="122"/>
        <v>80.69062606861607</v>
      </c>
      <c r="K266" s="28">
        <f t="shared" si="110"/>
        <v>34.23874522427887</v>
      </c>
      <c r="L266" s="60">
        <f t="shared" si="117"/>
        <v>34.98759372189826</v>
      </c>
      <c r="M266" s="105">
        <f t="shared" si="118"/>
        <v>69.22633894617712</v>
      </c>
      <c r="N266" s="29">
        <f t="shared" si="103"/>
        <v>137.41978372627682</v>
      </c>
      <c r="O266" s="81">
        <f t="shared" si="104"/>
        <v>25.566471390935224</v>
      </c>
      <c r="P266" s="81">
        <f t="shared" si="109"/>
        <v>3.693753138746551</v>
      </c>
    </row>
    <row r="267" spans="2:16" ht="11.25">
      <c r="B267" s="15">
        <v>5</v>
      </c>
      <c r="C267" s="23">
        <f t="shared" si="123"/>
        <v>1705</v>
      </c>
      <c r="D267" s="24">
        <v>10</v>
      </c>
      <c r="E267" s="25">
        <v>40</v>
      </c>
      <c r="F267" s="29">
        <v>10.75</v>
      </c>
      <c r="G267" s="29">
        <v>0.365</v>
      </c>
      <c r="H267" s="27">
        <f t="shared" si="120"/>
        <v>10.02</v>
      </c>
      <c r="I267" s="27">
        <f t="shared" si="121"/>
        <v>11.908285493248458</v>
      </c>
      <c r="J267" s="26">
        <f t="shared" si="122"/>
        <v>78.85428976436916</v>
      </c>
      <c r="K267" s="28">
        <f t="shared" si="110"/>
        <v>40.4812162383167</v>
      </c>
      <c r="L267" s="60">
        <f t="shared" si="117"/>
        <v>34.191355153924725</v>
      </c>
      <c r="M267" s="105">
        <f t="shared" si="118"/>
        <v>74.67257139224142</v>
      </c>
      <c r="N267" s="29">
        <f t="shared" si="103"/>
        <v>160.73424182186673</v>
      </c>
      <c r="O267" s="81">
        <f t="shared" si="104"/>
        <v>29.90404499011474</v>
      </c>
      <c r="P267" s="81">
        <f t="shared" si="109"/>
        <v>3.673919058716455</v>
      </c>
    </row>
    <row r="268" spans="2:16" ht="11.25">
      <c r="B268" s="15">
        <v>6</v>
      </c>
      <c r="C268" s="23">
        <f t="shared" si="123"/>
        <v>1706</v>
      </c>
      <c r="D268" s="24">
        <v>10</v>
      </c>
      <c r="E268" s="25" t="s">
        <v>12</v>
      </c>
      <c r="F268" s="29">
        <v>10.75</v>
      </c>
      <c r="G268" s="29">
        <v>0.365</v>
      </c>
      <c r="H268" s="27">
        <f t="shared" si="120"/>
        <v>10.02</v>
      </c>
      <c r="I268" s="27">
        <f t="shared" si="121"/>
        <v>11.908285493248458</v>
      </c>
      <c r="J268" s="26">
        <f t="shared" si="122"/>
        <v>78.85428976436916</v>
      </c>
      <c r="K268" s="28">
        <f t="shared" si="110"/>
        <v>40.4812162383167</v>
      </c>
      <c r="L268" s="60">
        <f t="shared" si="117"/>
        <v>34.191355153924725</v>
      </c>
      <c r="M268" s="105">
        <f t="shared" si="118"/>
        <v>74.67257139224142</v>
      </c>
      <c r="N268" s="29">
        <f t="shared" si="103"/>
        <v>160.73424182186673</v>
      </c>
      <c r="O268" s="81">
        <f t="shared" si="104"/>
        <v>29.90404499011474</v>
      </c>
      <c r="P268" s="81">
        <f t="shared" si="109"/>
        <v>3.673919058716455</v>
      </c>
    </row>
    <row r="269" spans="2:16" ht="11.25">
      <c r="B269" s="15">
        <v>7</v>
      </c>
      <c r="C269" s="23">
        <f t="shared" si="123"/>
        <v>1707</v>
      </c>
      <c r="D269" s="24">
        <v>10</v>
      </c>
      <c r="E269" s="25" t="s">
        <v>0</v>
      </c>
      <c r="F269" s="29">
        <v>10.75</v>
      </c>
      <c r="G269" s="29">
        <v>0.365</v>
      </c>
      <c r="H269" s="27">
        <f t="shared" si="120"/>
        <v>10.02</v>
      </c>
      <c r="I269" s="27">
        <f t="shared" si="121"/>
        <v>11.908285493248458</v>
      </c>
      <c r="J269" s="26">
        <f t="shared" si="122"/>
        <v>78.85428976436916</v>
      </c>
      <c r="K269" s="28">
        <f t="shared" si="110"/>
        <v>40.4812162383167</v>
      </c>
      <c r="L269" s="60">
        <f t="shared" si="117"/>
        <v>34.191355153924725</v>
      </c>
      <c r="M269" s="105">
        <f t="shared" si="118"/>
        <v>74.67257139224142</v>
      </c>
      <c r="N269" s="29">
        <f t="shared" si="103"/>
        <v>160.73424182186673</v>
      </c>
      <c r="O269" s="81">
        <f t="shared" si="104"/>
        <v>29.90404499011474</v>
      </c>
      <c r="P269" s="81">
        <f t="shared" si="109"/>
        <v>3.673919058716455</v>
      </c>
    </row>
    <row r="270" spans="2:16" ht="11.25">
      <c r="B270" s="15">
        <v>8</v>
      </c>
      <c r="C270" s="23">
        <f t="shared" si="123"/>
        <v>1708</v>
      </c>
      <c r="D270" s="24">
        <v>10</v>
      </c>
      <c r="E270" s="25">
        <v>60</v>
      </c>
      <c r="F270" s="29">
        <v>10.75</v>
      </c>
      <c r="G270" s="29">
        <v>0.5</v>
      </c>
      <c r="H270" s="27">
        <f t="shared" si="120"/>
        <v>9.75</v>
      </c>
      <c r="I270" s="27">
        <f t="shared" si="121"/>
        <v>16.10066234964769</v>
      </c>
      <c r="J270" s="26">
        <f t="shared" si="122"/>
        <v>74.66191290796992</v>
      </c>
      <c r="K270" s="28">
        <f t="shared" si="110"/>
        <v>54.73284920198994</v>
      </c>
      <c r="L270" s="60">
        <f t="shared" si="117"/>
        <v>32.37353336560381</v>
      </c>
      <c r="M270" s="105">
        <f t="shared" si="118"/>
        <v>87.10638256759376</v>
      </c>
      <c r="N270" s="29">
        <f t="shared" si="103"/>
        <v>211.95012546215904</v>
      </c>
      <c r="O270" s="81">
        <f t="shared" si="104"/>
        <v>39.432581481331916</v>
      </c>
      <c r="P270" s="81">
        <f t="shared" si="109"/>
        <v>3.628231318424998</v>
      </c>
    </row>
    <row r="271" spans="2:16" ht="11.25">
      <c r="B271" s="15">
        <v>9</v>
      </c>
      <c r="C271" s="23">
        <f t="shared" si="123"/>
        <v>1709</v>
      </c>
      <c r="D271" s="24">
        <v>10</v>
      </c>
      <c r="E271" s="25" t="s">
        <v>1</v>
      </c>
      <c r="F271" s="29">
        <v>10.75</v>
      </c>
      <c r="G271" s="29">
        <v>0.5</v>
      </c>
      <c r="H271" s="27">
        <f t="shared" si="120"/>
        <v>9.75</v>
      </c>
      <c r="I271" s="27">
        <f t="shared" si="121"/>
        <v>16.10066234964769</v>
      </c>
      <c r="J271" s="26">
        <f t="shared" si="122"/>
        <v>74.66191290796992</v>
      </c>
      <c r="K271" s="28">
        <f t="shared" si="110"/>
        <v>54.73284920198994</v>
      </c>
      <c r="L271" s="60">
        <f t="shared" si="117"/>
        <v>32.37353336560381</v>
      </c>
      <c r="M271" s="105">
        <f t="shared" si="118"/>
        <v>87.10638256759376</v>
      </c>
      <c r="N271" s="29">
        <f t="shared" si="103"/>
        <v>211.95012546215904</v>
      </c>
      <c r="O271" s="81">
        <f t="shared" si="104"/>
        <v>39.432581481331916</v>
      </c>
      <c r="P271" s="81">
        <f t="shared" si="109"/>
        <v>3.628231318424998</v>
      </c>
    </row>
    <row r="272" spans="2:16" ht="11.25">
      <c r="B272" s="15">
        <v>10</v>
      </c>
      <c r="C272" s="23">
        <f t="shared" si="123"/>
        <v>1710</v>
      </c>
      <c r="D272" s="24">
        <v>10</v>
      </c>
      <c r="E272" s="25" t="s">
        <v>13</v>
      </c>
      <c r="F272" s="29">
        <v>10.75</v>
      </c>
      <c r="G272" s="29">
        <v>0.5</v>
      </c>
      <c r="H272" s="27">
        <f t="shared" si="120"/>
        <v>9.75</v>
      </c>
      <c r="I272" s="27">
        <f t="shared" si="121"/>
        <v>16.10066234964769</v>
      </c>
      <c r="J272" s="26">
        <f t="shared" si="122"/>
        <v>74.66191290796992</v>
      </c>
      <c r="K272" s="28">
        <f t="shared" si="110"/>
        <v>54.73284920198994</v>
      </c>
      <c r="L272" s="60">
        <f t="shared" si="117"/>
        <v>32.37353336560381</v>
      </c>
      <c r="M272" s="105">
        <f t="shared" si="118"/>
        <v>87.10638256759376</v>
      </c>
      <c r="N272" s="29">
        <f t="shared" si="103"/>
        <v>211.95012546215904</v>
      </c>
      <c r="O272" s="81">
        <f t="shared" si="104"/>
        <v>39.432581481331916</v>
      </c>
      <c r="P272" s="81">
        <f t="shared" si="109"/>
        <v>3.628231318424998</v>
      </c>
    </row>
    <row r="273" spans="2:16" ht="11.25">
      <c r="B273" s="15">
        <v>11</v>
      </c>
      <c r="C273" s="23">
        <f t="shared" si="123"/>
        <v>1711</v>
      </c>
      <c r="D273" s="24">
        <v>10</v>
      </c>
      <c r="E273" s="25">
        <v>80</v>
      </c>
      <c r="F273" s="29">
        <v>10.75</v>
      </c>
      <c r="G273" s="29">
        <v>0.593</v>
      </c>
      <c r="H273" s="27">
        <f t="shared" si="120"/>
        <v>9.564</v>
      </c>
      <c r="I273" s="27">
        <f t="shared" si="121"/>
        <v>18.92212985342934</v>
      </c>
      <c r="J273" s="26">
        <f t="shared" si="122"/>
        <v>71.84044540418827</v>
      </c>
      <c r="K273" s="28">
        <f t="shared" si="110"/>
        <v>64.32419097782535</v>
      </c>
      <c r="L273" s="60">
        <f t="shared" si="117"/>
        <v>31.15014022154881</v>
      </c>
      <c r="M273" s="105">
        <f t="shared" si="118"/>
        <v>95.47433119937416</v>
      </c>
      <c r="N273" s="29">
        <f t="shared" si="103"/>
        <v>244.84360408778593</v>
      </c>
      <c r="O273" s="81">
        <f t="shared" si="104"/>
        <v>45.552298434936915</v>
      </c>
      <c r="P273" s="81">
        <f t="shared" si="109"/>
        <v>3.5971568286634374</v>
      </c>
    </row>
    <row r="274" spans="2:16" ht="11.25">
      <c r="B274" s="15">
        <v>12</v>
      </c>
      <c r="C274" s="23">
        <f t="shared" si="123"/>
        <v>1712</v>
      </c>
      <c r="D274" s="24">
        <v>10</v>
      </c>
      <c r="E274" s="25">
        <v>100</v>
      </c>
      <c r="F274" s="29">
        <v>10.75</v>
      </c>
      <c r="G274" s="29">
        <v>0.718</v>
      </c>
      <c r="H274" s="27">
        <f t="shared" si="120"/>
        <v>9.314</v>
      </c>
      <c r="I274" s="27">
        <f t="shared" si="121"/>
        <v>22.62881648558359</v>
      </c>
      <c r="J274" s="26">
        <f t="shared" si="122"/>
        <v>68.13375877203403</v>
      </c>
      <c r="K274" s="28">
        <f t="shared" si="110"/>
        <v>76.92476082215663</v>
      </c>
      <c r="L274" s="60">
        <f t="shared" si="117"/>
        <v>29.542914546661585</v>
      </c>
      <c r="M274" s="104">
        <f t="shared" si="118"/>
        <v>106.46767536881822</v>
      </c>
      <c r="N274" s="29">
        <f t="shared" si="103"/>
        <v>286.131620125891</v>
      </c>
      <c r="O274" s="81">
        <f t="shared" si="104"/>
        <v>53.23378979086344</v>
      </c>
      <c r="P274" s="81">
        <f t="shared" si="109"/>
        <v>3.555920204391544</v>
      </c>
    </row>
    <row r="275" spans="2:16" ht="11.25">
      <c r="B275" s="15">
        <v>13</v>
      </c>
      <c r="C275" s="23">
        <f t="shared" si="123"/>
        <v>1713</v>
      </c>
      <c r="D275" s="24">
        <v>10</v>
      </c>
      <c r="E275" s="25">
        <v>120</v>
      </c>
      <c r="F275" s="29">
        <v>10.75</v>
      </c>
      <c r="G275" s="29">
        <v>0.843</v>
      </c>
      <c r="H275" s="27">
        <f t="shared" si="120"/>
        <v>9.064</v>
      </c>
      <c r="I275" s="27">
        <f t="shared" si="121"/>
        <v>26.237328347313166</v>
      </c>
      <c r="J275" s="26">
        <f t="shared" si="122"/>
        <v>64.52524691030445</v>
      </c>
      <c r="K275" s="28">
        <f t="shared" si="110"/>
        <v>89.19159378110993</v>
      </c>
      <c r="L275" s="60">
        <f t="shared" si="117"/>
        <v>27.978257620447074</v>
      </c>
      <c r="M275" s="104">
        <f t="shared" si="118"/>
        <v>117.169851401557</v>
      </c>
      <c r="N275" s="29">
        <f t="shared" si="103"/>
        <v>324.22548272636</v>
      </c>
      <c r="O275" s="81">
        <f t="shared" si="104"/>
        <v>60.32102004211349</v>
      </c>
      <c r="P275" s="81">
        <f t="shared" si="109"/>
        <v>3.5153111170990257</v>
      </c>
    </row>
    <row r="276" spans="2:16" ht="11.25">
      <c r="B276" s="15">
        <v>14</v>
      </c>
      <c r="C276" s="23">
        <f t="shared" si="123"/>
        <v>1714</v>
      </c>
      <c r="D276" s="24">
        <v>10</v>
      </c>
      <c r="E276" s="25">
        <v>140</v>
      </c>
      <c r="F276" s="29">
        <v>10.75</v>
      </c>
      <c r="G276" s="29">
        <v>1</v>
      </c>
      <c r="H276" s="27">
        <f t="shared" si="120"/>
        <v>8.75</v>
      </c>
      <c r="I276" s="27">
        <f t="shared" si="121"/>
        <v>30.630528372500482</v>
      </c>
      <c r="J276" s="26">
        <f t="shared" si="122"/>
        <v>60.132046885117134</v>
      </c>
      <c r="K276" s="28">
        <f t="shared" si="110"/>
        <v>104.1259082379321</v>
      </c>
      <c r="L276" s="60">
        <f t="shared" si="117"/>
        <v>26.073358562041207</v>
      </c>
      <c r="M276" s="104">
        <f t="shared" si="118"/>
        <v>130.19926679997332</v>
      </c>
      <c r="N276" s="29">
        <f t="shared" si="103"/>
        <v>367.80564147291597</v>
      </c>
      <c r="O276" s="81">
        <f t="shared" si="104"/>
        <v>68.42895655310065</v>
      </c>
      <c r="P276" s="81">
        <f t="shared" si="109"/>
        <v>3.465229068907278</v>
      </c>
    </row>
    <row r="277" spans="2:16" ht="11.25">
      <c r="B277" s="15">
        <v>15</v>
      </c>
      <c r="C277" s="23">
        <f t="shared" si="123"/>
        <v>1715</v>
      </c>
      <c r="D277" s="24">
        <v>10</v>
      </c>
      <c r="E277" s="25">
        <v>160</v>
      </c>
      <c r="F277" s="29">
        <v>10.75</v>
      </c>
      <c r="G277" s="29">
        <v>1.125</v>
      </c>
      <c r="H277" s="27">
        <f t="shared" si="120"/>
        <v>8.5</v>
      </c>
      <c r="I277" s="27">
        <f t="shared" si="121"/>
        <v>34.017557952151975</v>
      </c>
      <c r="J277" s="26">
        <f t="shared" si="122"/>
        <v>56.74501730546564</v>
      </c>
      <c r="K277" s="28">
        <f t="shared" si="110"/>
        <v>115.63983078347266</v>
      </c>
      <c r="L277" s="60">
        <f t="shared" si="117"/>
        <v>24.604736732832354</v>
      </c>
      <c r="M277" s="104">
        <f t="shared" si="118"/>
        <v>140.244567516305</v>
      </c>
      <c r="N277" s="29">
        <f t="shared" si="103"/>
        <v>399.30766268053395</v>
      </c>
      <c r="O277" s="81">
        <f t="shared" si="104"/>
        <v>74.28979770800632</v>
      </c>
      <c r="P277" s="81">
        <f t="shared" si="109"/>
        <v>3.4261175184164365</v>
      </c>
    </row>
    <row r="278" spans="2:16" ht="11.25" hidden="1">
      <c r="B278" s="15">
        <v>16</v>
      </c>
      <c r="C278" s="23">
        <f t="shared" si="123"/>
        <v>1716</v>
      </c>
      <c r="D278" s="24"/>
      <c r="E278" s="25"/>
      <c r="F278" s="29"/>
      <c r="G278" s="29"/>
      <c r="H278" s="27"/>
      <c r="I278" s="27"/>
      <c r="J278" s="26"/>
      <c r="K278" s="28"/>
      <c r="L278" s="60"/>
      <c r="M278" s="104"/>
      <c r="N278" s="81"/>
      <c r="O278" s="81"/>
      <c r="P278" s="81"/>
    </row>
    <row r="279" spans="1:16" ht="11.25">
      <c r="A279" s="23">
        <v>18</v>
      </c>
      <c r="B279" s="15">
        <v>1</v>
      </c>
      <c r="C279" s="23">
        <f>$A$279*100+B279</f>
        <v>1801</v>
      </c>
      <c r="D279" s="24">
        <v>12</v>
      </c>
      <c r="E279" s="25" t="s">
        <v>10</v>
      </c>
      <c r="F279" s="29">
        <v>12.75</v>
      </c>
      <c r="G279" s="29">
        <v>0.156</v>
      </c>
      <c r="H279" s="27">
        <f aca="true" t="shared" si="124" ref="H279:H293">F279-2*G279</f>
        <v>12.438</v>
      </c>
      <c r="I279" s="27">
        <f aca="true" t="shared" si="125" ref="I279:I293">PI()*(F279^2-H279^2)/4</f>
        <v>6.172173989172334</v>
      </c>
      <c r="J279" s="26">
        <f aca="true" t="shared" si="126" ref="J279:J293">PI()*H279^2/4</f>
        <v>121.50411494812535</v>
      </c>
      <c r="K279" s="28">
        <f t="shared" si="110"/>
        <v>20.98178701357626</v>
      </c>
      <c r="L279" s="60">
        <f aca="true" t="shared" si="127" ref="L279:L293">$J279*0.254^3*2.205*12</f>
        <v>52.684392431517864</v>
      </c>
      <c r="M279" s="105">
        <f aca="true" t="shared" si="128" ref="M279:M293">K279+L279</f>
        <v>73.66617944509412</v>
      </c>
      <c r="N279" s="29">
        <f t="shared" si="103"/>
        <v>122.3889422547876</v>
      </c>
      <c r="O279" s="81">
        <f t="shared" si="104"/>
        <v>19.198265451731388</v>
      </c>
      <c r="P279" s="81">
        <f t="shared" si="109"/>
        <v>4.452992982253621</v>
      </c>
    </row>
    <row r="280" spans="2:16" ht="11.25">
      <c r="B280" s="15">
        <v>2</v>
      </c>
      <c r="C280" s="23">
        <f aca="true" t="shared" si="129" ref="C280:C294">$A$279*100+B280</f>
        <v>1802</v>
      </c>
      <c r="D280" s="24">
        <v>12</v>
      </c>
      <c r="E280" s="25" t="s">
        <v>11</v>
      </c>
      <c r="F280" s="29">
        <v>12.75</v>
      </c>
      <c r="G280" s="29">
        <v>0.18</v>
      </c>
      <c r="H280" s="27">
        <f t="shared" si="124"/>
        <v>12.39</v>
      </c>
      <c r="I280" s="27">
        <f t="shared" si="125"/>
        <v>7.108167538012263</v>
      </c>
      <c r="J280" s="26">
        <f t="shared" si="126"/>
        <v>120.56812139928542</v>
      </c>
      <c r="K280" s="28">
        <f t="shared" si="110"/>
        <v>24.163618459399494</v>
      </c>
      <c r="L280" s="60">
        <f t="shared" si="127"/>
        <v>52.27854402497209</v>
      </c>
      <c r="M280" s="105">
        <f t="shared" si="128"/>
        <v>76.44216248437158</v>
      </c>
      <c r="N280" s="29">
        <f t="shared" si="103"/>
        <v>140.41945070688809</v>
      </c>
      <c r="O280" s="81">
        <f t="shared" si="104"/>
        <v>22.02658050304127</v>
      </c>
      <c r="P280" s="81">
        <f t="shared" si="109"/>
        <v>4.444621749935532</v>
      </c>
    </row>
    <row r="281" spans="2:16" ht="11.25">
      <c r="B281" s="15">
        <v>3</v>
      </c>
      <c r="C281" s="23">
        <f t="shared" si="129"/>
        <v>1803</v>
      </c>
      <c r="D281" s="24">
        <v>12</v>
      </c>
      <c r="E281" s="25">
        <v>20</v>
      </c>
      <c r="F281" s="29">
        <v>12.75</v>
      </c>
      <c r="G281" s="29">
        <v>0.25</v>
      </c>
      <c r="H281" s="27">
        <f t="shared" si="124"/>
        <v>12.25</v>
      </c>
      <c r="I281" s="27">
        <f t="shared" si="125"/>
        <v>9.817477042468104</v>
      </c>
      <c r="J281" s="26">
        <f t="shared" si="126"/>
        <v>117.85881189482959</v>
      </c>
      <c r="K281" s="28">
        <f t="shared" si="110"/>
        <v>33.37368853779875</v>
      </c>
      <c r="L281" s="60">
        <f t="shared" si="127"/>
        <v>51.10378278160076</v>
      </c>
      <c r="M281" s="105">
        <f t="shared" si="128"/>
        <v>84.47747131939951</v>
      </c>
      <c r="N281" s="29">
        <f t="shared" si="103"/>
        <v>191.82429752509944</v>
      </c>
      <c r="O281" s="81">
        <f t="shared" si="104"/>
        <v>30.090085886290108</v>
      </c>
      <c r="P281" s="81">
        <f t="shared" si="109"/>
        <v>4.420301177521731</v>
      </c>
    </row>
    <row r="282" spans="2:16" ht="11.25">
      <c r="B282" s="15">
        <v>4</v>
      </c>
      <c r="C282" s="23">
        <f t="shared" si="129"/>
        <v>1804</v>
      </c>
      <c r="D282" s="24">
        <v>12</v>
      </c>
      <c r="E282" s="25">
        <v>30</v>
      </c>
      <c r="F282" s="29">
        <v>12.75</v>
      </c>
      <c r="G282" s="29">
        <v>0.33</v>
      </c>
      <c r="H282" s="27">
        <f t="shared" si="124"/>
        <v>12.09</v>
      </c>
      <c r="I282" s="27">
        <f t="shared" si="125"/>
        <v>12.876131650003119</v>
      </c>
      <c r="J282" s="26">
        <f t="shared" si="126"/>
        <v>114.80015728729457</v>
      </c>
      <c r="K282" s="28">
        <f t="shared" si="110"/>
        <v>43.771327949127006</v>
      </c>
      <c r="L282" s="60">
        <f t="shared" si="127"/>
        <v>49.77754490295242</v>
      </c>
      <c r="M282" s="105">
        <f t="shared" si="128"/>
        <v>93.54887285207943</v>
      </c>
      <c r="N282" s="29">
        <f t="shared" si="103"/>
        <v>248.45349062402838</v>
      </c>
      <c r="O282" s="81">
        <f t="shared" si="104"/>
        <v>38.973096568475036</v>
      </c>
      <c r="P282" s="81">
        <f t="shared" si="109"/>
        <v>4.3926828362630514</v>
      </c>
    </row>
    <row r="283" spans="2:16" ht="11.25">
      <c r="B283" s="15">
        <v>5</v>
      </c>
      <c r="C283" s="23">
        <f t="shared" si="129"/>
        <v>1805</v>
      </c>
      <c r="D283" s="24">
        <v>12</v>
      </c>
      <c r="E283" s="25" t="s">
        <v>12</v>
      </c>
      <c r="F283" s="29">
        <v>12.75</v>
      </c>
      <c r="G283" s="29">
        <v>0.375</v>
      </c>
      <c r="H283" s="27">
        <f t="shared" si="124"/>
        <v>12</v>
      </c>
      <c r="I283" s="27">
        <f t="shared" si="125"/>
        <v>14.578953408065134</v>
      </c>
      <c r="J283" s="26">
        <f t="shared" si="126"/>
        <v>113.09733552923255</v>
      </c>
      <c r="K283" s="28">
        <f t="shared" si="110"/>
        <v>49.559927478631145</v>
      </c>
      <c r="L283" s="60">
        <f t="shared" si="127"/>
        <v>49.03919847097382</v>
      </c>
      <c r="M283" s="105">
        <f t="shared" si="128"/>
        <v>98.59912594960497</v>
      </c>
      <c r="N283" s="29">
        <f t="shared" si="103"/>
        <v>279.33502525999796</v>
      </c>
      <c r="O283" s="81">
        <f t="shared" si="104"/>
        <v>43.81725886431341</v>
      </c>
      <c r="P283" s="81">
        <f t="shared" si="109"/>
        <v>4.377231573723282</v>
      </c>
    </row>
    <row r="284" spans="2:16" ht="11.25">
      <c r="B284" s="15">
        <v>6</v>
      </c>
      <c r="C284" s="23">
        <f t="shared" si="129"/>
        <v>1806</v>
      </c>
      <c r="D284" s="24">
        <v>12</v>
      </c>
      <c r="E284" s="25" t="s">
        <v>0</v>
      </c>
      <c r="F284" s="29">
        <v>12.75</v>
      </c>
      <c r="G284" s="29">
        <v>0.375</v>
      </c>
      <c r="H284" s="27">
        <f t="shared" si="124"/>
        <v>12</v>
      </c>
      <c r="I284" s="27">
        <f t="shared" si="125"/>
        <v>14.578953408065134</v>
      </c>
      <c r="J284" s="26">
        <f t="shared" si="126"/>
        <v>113.09733552923255</v>
      </c>
      <c r="K284" s="28">
        <f t="shared" si="110"/>
        <v>49.559927478631145</v>
      </c>
      <c r="L284" s="60">
        <f t="shared" si="127"/>
        <v>49.03919847097382</v>
      </c>
      <c r="M284" s="105">
        <f t="shared" si="128"/>
        <v>98.59912594960497</v>
      </c>
      <c r="N284" s="29">
        <f t="shared" si="103"/>
        <v>279.33502525999796</v>
      </c>
      <c r="O284" s="81">
        <f t="shared" si="104"/>
        <v>43.81725886431341</v>
      </c>
      <c r="P284" s="81">
        <f t="shared" si="109"/>
        <v>4.377231573723282</v>
      </c>
    </row>
    <row r="285" spans="2:16" ht="11.25">
      <c r="B285" s="15">
        <v>7</v>
      </c>
      <c r="C285" s="23">
        <f t="shared" si="129"/>
        <v>1807</v>
      </c>
      <c r="D285" s="24">
        <v>12</v>
      </c>
      <c r="E285" s="25">
        <v>40</v>
      </c>
      <c r="F285" s="29">
        <v>12.75</v>
      </c>
      <c r="G285" s="29">
        <v>0.406</v>
      </c>
      <c r="H285" s="27">
        <f t="shared" si="124"/>
        <v>11.938</v>
      </c>
      <c r="I285" s="27">
        <f t="shared" si="125"/>
        <v>15.744606804660425</v>
      </c>
      <c r="J285" s="26">
        <f t="shared" si="126"/>
        <v>111.93168213263726</v>
      </c>
      <c r="K285" s="28">
        <f t="shared" si="110"/>
        <v>53.52246828547152</v>
      </c>
      <c r="L285" s="60">
        <f t="shared" si="127"/>
        <v>48.53376916093295</v>
      </c>
      <c r="M285" s="104">
        <f t="shared" si="128"/>
        <v>102.05623744640447</v>
      </c>
      <c r="N285" s="29">
        <f t="shared" si="103"/>
        <v>300.2086606810584</v>
      </c>
      <c r="O285" s="81">
        <f t="shared" si="104"/>
        <v>47.091554616636614</v>
      </c>
      <c r="P285" s="81">
        <f t="shared" si="109"/>
        <v>4.366623008687606</v>
      </c>
    </row>
    <row r="286" spans="2:16" ht="11.25">
      <c r="B286" s="15">
        <v>8</v>
      </c>
      <c r="C286" s="23">
        <f t="shared" si="129"/>
        <v>1808</v>
      </c>
      <c r="D286" s="24">
        <v>12</v>
      </c>
      <c r="E286" s="25" t="s">
        <v>1</v>
      </c>
      <c r="F286" s="29">
        <v>12.75</v>
      </c>
      <c r="G286" s="29">
        <v>0.5</v>
      </c>
      <c r="H286" s="27">
        <f t="shared" si="124"/>
        <v>11.75</v>
      </c>
      <c r="I286" s="27">
        <f t="shared" si="125"/>
        <v>19.24225500323748</v>
      </c>
      <c r="J286" s="26">
        <f t="shared" si="126"/>
        <v>108.43403393406021</v>
      </c>
      <c r="K286" s="28">
        <f t="shared" si="110"/>
        <v>65.41242953408555</v>
      </c>
      <c r="L286" s="60">
        <f t="shared" si="127"/>
        <v>47.01718290901961</v>
      </c>
      <c r="M286" s="104">
        <f t="shared" si="128"/>
        <v>112.42961244310516</v>
      </c>
      <c r="N286" s="29">
        <f t="shared" si="103"/>
        <v>361.54393189676676</v>
      </c>
      <c r="O286" s="81">
        <f t="shared" si="104"/>
        <v>56.71277363086538</v>
      </c>
      <c r="P286" s="81">
        <f t="shared" si="109"/>
        <v>4.3346352210999255</v>
      </c>
    </row>
    <row r="287" spans="2:16" ht="11.25">
      <c r="B287" s="15">
        <v>9</v>
      </c>
      <c r="C287" s="23">
        <f t="shared" si="129"/>
        <v>1809</v>
      </c>
      <c r="D287" s="24">
        <v>12</v>
      </c>
      <c r="E287" s="25" t="s">
        <v>13</v>
      </c>
      <c r="F287" s="29">
        <v>12.75</v>
      </c>
      <c r="G287" s="29">
        <v>0.5</v>
      </c>
      <c r="H287" s="27">
        <f t="shared" si="124"/>
        <v>11.75</v>
      </c>
      <c r="I287" s="27">
        <f t="shared" si="125"/>
        <v>19.24225500323748</v>
      </c>
      <c r="J287" s="26">
        <f t="shared" si="126"/>
        <v>108.43403393406021</v>
      </c>
      <c r="K287" s="28">
        <f t="shared" si="110"/>
        <v>65.41242953408555</v>
      </c>
      <c r="L287" s="60">
        <f t="shared" si="127"/>
        <v>47.01718290901961</v>
      </c>
      <c r="M287" s="104">
        <f t="shared" si="128"/>
        <v>112.42961244310516</v>
      </c>
      <c r="N287" s="29">
        <f t="shared" si="103"/>
        <v>361.54393189676676</v>
      </c>
      <c r="O287" s="81">
        <f t="shared" si="104"/>
        <v>56.71277363086538</v>
      </c>
      <c r="P287" s="81">
        <f t="shared" si="109"/>
        <v>4.3346352210999255</v>
      </c>
    </row>
    <row r="288" spans="2:16" ht="11.25">
      <c r="B288" s="15">
        <v>10</v>
      </c>
      <c r="C288" s="23">
        <f t="shared" si="129"/>
        <v>1810</v>
      </c>
      <c r="D288" s="24">
        <v>12</v>
      </c>
      <c r="E288" s="25">
        <v>60</v>
      </c>
      <c r="F288" s="29">
        <v>12.75</v>
      </c>
      <c r="G288" s="29">
        <v>0.562</v>
      </c>
      <c r="H288" s="27">
        <f t="shared" si="124"/>
        <v>11.626</v>
      </c>
      <c r="I288" s="27">
        <f t="shared" si="125"/>
        <v>21.518828969217257</v>
      </c>
      <c r="J288" s="26">
        <f t="shared" si="126"/>
        <v>106.15745996808043</v>
      </c>
      <c r="K288" s="28">
        <f t="shared" si="110"/>
        <v>73.15145149922066</v>
      </c>
      <c r="L288" s="60">
        <f t="shared" si="127"/>
        <v>46.03005653659788</v>
      </c>
      <c r="M288" s="104">
        <f t="shared" si="128"/>
        <v>119.18150803581854</v>
      </c>
      <c r="N288" s="29">
        <f t="shared" si="103"/>
        <v>400.4201852980544</v>
      </c>
      <c r="O288" s="81">
        <f t="shared" si="104"/>
        <v>62.811009458518335</v>
      </c>
      <c r="P288" s="81">
        <f t="shared" si="109"/>
        <v>4.313687343793011</v>
      </c>
    </row>
    <row r="289" spans="2:16" ht="11.25">
      <c r="B289" s="15">
        <v>11</v>
      </c>
      <c r="C289" s="23">
        <f t="shared" si="129"/>
        <v>1811</v>
      </c>
      <c r="D289" s="24">
        <v>12</v>
      </c>
      <c r="E289" s="25">
        <v>80</v>
      </c>
      <c r="F289" s="29">
        <v>12.75</v>
      </c>
      <c r="G289" s="29">
        <v>0.688</v>
      </c>
      <c r="H289" s="27">
        <f t="shared" si="124"/>
        <v>11.374</v>
      </c>
      <c r="I289" s="27">
        <f t="shared" si="125"/>
        <v>26.070996724268838</v>
      </c>
      <c r="J289" s="26">
        <f t="shared" si="126"/>
        <v>101.60529221302885</v>
      </c>
      <c r="K289" s="28">
        <f t="shared" si="110"/>
        <v>88.62616340042707</v>
      </c>
      <c r="L289" s="60">
        <f t="shared" si="127"/>
        <v>44.0562287981412</v>
      </c>
      <c r="M289" s="104">
        <f t="shared" si="128"/>
        <v>132.68239219856827</v>
      </c>
      <c r="N289" s="29">
        <f t="shared" si="103"/>
        <v>475.6822422756607</v>
      </c>
      <c r="O289" s="81">
        <f t="shared" si="104"/>
        <v>74.6168223177507</v>
      </c>
      <c r="P289" s="81">
        <f t="shared" si="109"/>
        <v>4.271492537743687</v>
      </c>
    </row>
    <row r="290" spans="2:16" ht="11.25">
      <c r="B290" s="15">
        <v>12</v>
      </c>
      <c r="C290" s="23">
        <f t="shared" si="129"/>
        <v>1812</v>
      </c>
      <c r="D290" s="24">
        <v>12</v>
      </c>
      <c r="E290" s="25">
        <v>100</v>
      </c>
      <c r="F290" s="29">
        <v>12.75</v>
      </c>
      <c r="G290" s="29">
        <v>0.844</v>
      </c>
      <c r="H290" s="27">
        <f t="shared" si="124"/>
        <v>11.062</v>
      </c>
      <c r="I290" s="27">
        <f t="shared" si="125"/>
        <v>31.568809000792232</v>
      </c>
      <c r="J290" s="26">
        <f t="shared" si="126"/>
        <v>96.10747993650546</v>
      </c>
      <c r="K290" s="28">
        <f t="shared" si="110"/>
        <v>107.31551441823713</v>
      </c>
      <c r="L290" s="60">
        <f t="shared" si="127"/>
        <v>41.67236797486919</v>
      </c>
      <c r="M290" s="104">
        <f t="shared" si="128"/>
        <v>148.9878823931063</v>
      </c>
      <c r="N290" s="29">
        <f aca="true" t="shared" si="130" ref="N290:N362">PI()*(($F290)^4-($H290)^4)/64</f>
        <v>562.1819755166266</v>
      </c>
      <c r="O290" s="81">
        <f aca="true" t="shared" si="131" ref="O290:O362">PI()*(($F290)^4-($H290)^4)/(32*($F290))</f>
        <v>88.18540792417673</v>
      </c>
      <c r="P290" s="81">
        <f t="shared" si="109"/>
        <v>4.2199699643480875</v>
      </c>
    </row>
    <row r="291" spans="2:16" ht="11.25">
      <c r="B291" s="15">
        <v>13</v>
      </c>
      <c r="C291" s="23">
        <f t="shared" si="129"/>
        <v>1813</v>
      </c>
      <c r="D291" s="24">
        <v>12</v>
      </c>
      <c r="E291" s="25">
        <v>120</v>
      </c>
      <c r="F291" s="29">
        <v>12.75</v>
      </c>
      <c r="G291" s="29">
        <v>1</v>
      </c>
      <c r="H291" s="27">
        <f t="shared" si="124"/>
        <v>10.75</v>
      </c>
      <c r="I291" s="27">
        <f t="shared" si="125"/>
        <v>36.91371367968007</v>
      </c>
      <c r="J291" s="26">
        <f t="shared" si="126"/>
        <v>90.76257525761761</v>
      </c>
      <c r="K291" s="28">
        <f t="shared" si="110"/>
        <v>125.48506890212332</v>
      </c>
      <c r="L291" s="60">
        <f t="shared" si="127"/>
        <v>39.354808147929944</v>
      </c>
      <c r="M291" s="104">
        <f t="shared" si="128"/>
        <v>164.83987705005325</v>
      </c>
      <c r="N291" s="29">
        <f t="shared" si="130"/>
        <v>641.6641635725637</v>
      </c>
      <c r="O291" s="81">
        <f t="shared" si="131"/>
        <v>100.6532021290296</v>
      </c>
      <c r="P291" s="81">
        <f t="shared" si="109"/>
        <v>4.1692700200394786</v>
      </c>
    </row>
    <row r="292" spans="2:16" ht="11.25">
      <c r="B292" s="15">
        <v>14</v>
      </c>
      <c r="C292" s="23">
        <f t="shared" si="129"/>
        <v>1814</v>
      </c>
      <c r="D292" s="24">
        <v>12</v>
      </c>
      <c r="E292" s="25">
        <v>140</v>
      </c>
      <c r="F292" s="29">
        <v>12.75</v>
      </c>
      <c r="G292" s="29">
        <v>1.125</v>
      </c>
      <c r="H292" s="27">
        <f t="shared" si="124"/>
        <v>10.5</v>
      </c>
      <c r="I292" s="27">
        <f t="shared" si="125"/>
        <v>41.086141422729014</v>
      </c>
      <c r="J292" s="26">
        <f t="shared" si="126"/>
        <v>86.59014751456867</v>
      </c>
      <c r="K292" s="28">
        <f t="shared" si="110"/>
        <v>139.6688865306878</v>
      </c>
      <c r="L292" s="60">
        <f t="shared" si="127"/>
        <v>37.54563632933933</v>
      </c>
      <c r="M292" s="104">
        <f t="shared" si="128"/>
        <v>177.2145228600271</v>
      </c>
      <c r="N292" s="29">
        <f t="shared" si="130"/>
        <v>700.5508098055162</v>
      </c>
      <c r="O292" s="81">
        <f t="shared" si="131"/>
        <v>109.89032310674764</v>
      </c>
      <c r="P292" s="81">
        <f t="shared" si="109"/>
        <v>4.129259164789732</v>
      </c>
    </row>
    <row r="293" spans="2:16" ht="11.25">
      <c r="B293" s="15">
        <v>15</v>
      </c>
      <c r="C293" s="23">
        <f t="shared" si="129"/>
        <v>1815</v>
      </c>
      <c r="D293" s="24">
        <v>12</v>
      </c>
      <c r="E293" s="25">
        <v>160</v>
      </c>
      <c r="F293" s="29">
        <v>12.75</v>
      </c>
      <c r="G293" s="29">
        <v>1.312</v>
      </c>
      <c r="H293" s="27">
        <f t="shared" si="124"/>
        <v>10.126</v>
      </c>
      <c r="I293" s="27">
        <f t="shared" si="125"/>
        <v>47.1448002445492</v>
      </c>
      <c r="J293" s="26">
        <f t="shared" si="126"/>
        <v>80.53148869274848</v>
      </c>
      <c r="K293" s="28">
        <f t="shared" si="110"/>
        <v>160.26478826812448</v>
      </c>
      <c r="L293" s="60">
        <f t="shared" si="127"/>
        <v>34.918591483049724</v>
      </c>
      <c r="M293" s="104">
        <f t="shared" si="128"/>
        <v>195.1833797511742</v>
      </c>
      <c r="N293" s="29">
        <f t="shared" si="130"/>
        <v>781.1256238546497</v>
      </c>
      <c r="O293" s="81">
        <f t="shared" si="131"/>
        <v>122.52950962425878</v>
      </c>
      <c r="P293" s="81">
        <f t="shared" si="109"/>
        <v>4.070460477636406</v>
      </c>
    </row>
    <row r="294" spans="2:16" ht="11.25" hidden="1">
      <c r="B294" s="15">
        <v>16</v>
      </c>
      <c r="C294" s="23">
        <f t="shared" si="129"/>
        <v>1816</v>
      </c>
      <c r="D294" s="24"/>
      <c r="E294" s="25"/>
      <c r="F294" s="29"/>
      <c r="G294" s="29"/>
      <c r="H294" s="27"/>
      <c r="I294" s="27"/>
      <c r="J294" s="26"/>
      <c r="K294" s="28"/>
      <c r="L294" s="79"/>
      <c r="M294" s="60"/>
      <c r="N294" s="81"/>
      <c r="O294" s="81"/>
      <c r="P294" s="81"/>
    </row>
    <row r="295" spans="1:16" ht="11.25">
      <c r="A295" s="23">
        <v>19</v>
      </c>
      <c r="B295" s="15">
        <v>1</v>
      </c>
      <c r="C295" s="23">
        <f>$A$295*100+B295</f>
        <v>1901</v>
      </c>
      <c r="D295" s="24">
        <v>14</v>
      </c>
      <c r="E295" s="25" t="s">
        <v>10</v>
      </c>
      <c r="F295" s="29">
        <v>14</v>
      </c>
      <c r="G295" s="29">
        <v>0.156</v>
      </c>
      <c r="H295" s="27">
        <f aca="true" t="shared" si="132" ref="H295:H308">F295-2*G295</f>
        <v>13.688</v>
      </c>
      <c r="I295" s="27">
        <f aca="true" t="shared" si="133" ref="I295:I308">PI()*(F295^2-H295^2)/4</f>
        <v>6.784784556622345</v>
      </c>
      <c r="J295" s="26">
        <f aca="true" t="shared" si="134" ref="J295:J308">PI()*H295^2/4</f>
        <v>147.15325546927752</v>
      </c>
      <c r="K295" s="28">
        <f t="shared" si="110"/>
        <v>23.064305178334905</v>
      </c>
      <c r="L295" s="60">
        <f aca="true" t="shared" si="135" ref="L295:L308">$J295*0.254^3*2.205*12</f>
        <v>63.80590370975278</v>
      </c>
      <c r="M295" s="105">
        <f aca="true" t="shared" si="136" ref="M295:M308">K295+L295</f>
        <v>86.87020888808769</v>
      </c>
      <c r="N295" s="29">
        <f t="shared" si="130"/>
        <v>162.56400789857415</v>
      </c>
      <c r="O295" s="81">
        <f t="shared" si="131"/>
        <v>23.223429699796306</v>
      </c>
      <c r="P295" s="81">
        <f t="shared" si="109"/>
        <v>4.894903880568035</v>
      </c>
    </row>
    <row r="296" spans="2:16" ht="11.25">
      <c r="B296" s="15">
        <v>2</v>
      </c>
      <c r="C296" s="23">
        <f aca="true" t="shared" si="137" ref="C296:C310">$A$295*100+B296</f>
        <v>1902</v>
      </c>
      <c r="D296" s="24">
        <v>14</v>
      </c>
      <c r="E296" s="25" t="s">
        <v>11</v>
      </c>
      <c r="F296" s="29">
        <v>14</v>
      </c>
      <c r="G296" s="29">
        <v>0.188</v>
      </c>
      <c r="H296" s="27">
        <f t="shared" si="132"/>
        <v>13.624</v>
      </c>
      <c r="I296" s="27">
        <f t="shared" si="133"/>
        <v>8.157635413499845</v>
      </c>
      <c r="J296" s="26">
        <f t="shared" si="134"/>
        <v>145.78040461240002</v>
      </c>
      <c r="K296" s="28">
        <f t="shared" si="110"/>
        <v>27.73119634681799</v>
      </c>
      <c r="L296" s="60">
        <f t="shared" si="135"/>
        <v>63.21063322591313</v>
      </c>
      <c r="M296" s="105">
        <f t="shared" si="136"/>
        <v>90.94182957273111</v>
      </c>
      <c r="N296" s="29">
        <f t="shared" si="130"/>
        <v>194.566424395177</v>
      </c>
      <c r="O296" s="81">
        <f t="shared" si="131"/>
        <v>27.795203485025286</v>
      </c>
      <c r="P296" s="81">
        <f t="shared" si="109"/>
        <v>4.883731769866154</v>
      </c>
    </row>
    <row r="297" spans="2:16" ht="11.25">
      <c r="B297" s="15">
        <v>3</v>
      </c>
      <c r="C297" s="23">
        <f t="shared" si="137"/>
        <v>1903</v>
      </c>
      <c r="D297" s="24">
        <v>14</v>
      </c>
      <c r="E297" s="25">
        <v>10</v>
      </c>
      <c r="F297" s="29">
        <v>14</v>
      </c>
      <c r="G297" s="29">
        <v>0.25</v>
      </c>
      <c r="H297" s="27">
        <f>F297-2*G297</f>
        <v>13.5</v>
      </c>
      <c r="I297" s="27">
        <f>PI()*(F297^2-H297^2)/4</f>
        <v>10.799224746714915</v>
      </c>
      <c r="J297" s="26">
        <f>PI()*H297^2/4</f>
        <v>143.13881527918494</v>
      </c>
      <c r="K297" s="28">
        <f t="shared" si="110"/>
        <v>36.71105739157863</v>
      </c>
      <c r="L297" s="60">
        <f t="shared" si="135"/>
        <v>62.06523556482624</v>
      </c>
      <c r="M297" s="105">
        <f t="shared" si="136"/>
        <v>98.77629295640486</v>
      </c>
      <c r="N297" s="29">
        <f t="shared" si="130"/>
        <v>255.30042252780726</v>
      </c>
      <c r="O297" s="81">
        <f t="shared" si="131"/>
        <v>36.47148893254389</v>
      </c>
      <c r="P297" s="81">
        <f t="shared" si="109"/>
        <v>4.862162584694181</v>
      </c>
    </row>
    <row r="298" spans="2:16" ht="11.25">
      <c r="B298" s="15">
        <v>4</v>
      </c>
      <c r="C298" s="23">
        <f t="shared" si="137"/>
        <v>1904</v>
      </c>
      <c r="D298" s="24">
        <v>14</v>
      </c>
      <c r="E298" s="25">
        <v>20</v>
      </c>
      <c r="F298" s="29">
        <v>14</v>
      </c>
      <c r="G298" s="29">
        <v>0.312</v>
      </c>
      <c r="H298" s="27">
        <f t="shared" si="132"/>
        <v>13.376</v>
      </c>
      <c r="I298" s="27">
        <f t="shared" si="133"/>
        <v>13.41666151560918</v>
      </c>
      <c r="J298" s="26">
        <f t="shared" si="134"/>
        <v>140.52137851029067</v>
      </c>
      <c r="K298" s="28">
        <f t="shared" si="110"/>
        <v>45.60881382274609</v>
      </c>
      <c r="L298" s="60">
        <f t="shared" si="135"/>
        <v>60.93031049701283</v>
      </c>
      <c r="M298" s="104">
        <f t="shared" si="136"/>
        <v>106.53912431975893</v>
      </c>
      <c r="N298" s="29">
        <f t="shared" si="130"/>
        <v>314.3837206320234</v>
      </c>
      <c r="O298" s="81">
        <f t="shared" si="131"/>
        <v>44.911960090289064</v>
      </c>
      <c r="P298" s="81">
        <f t="shared" si="109"/>
        <v>4.840695817751823</v>
      </c>
    </row>
    <row r="299" spans="2:16" ht="11.25">
      <c r="B299" s="15">
        <v>5</v>
      </c>
      <c r="C299" s="23">
        <f t="shared" si="137"/>
        <v>1905</v>
      </c>
      <c r="D299" s="24">
        <v>14</v>
      </c>
      <c r="E299" s="25">
        <v>30</v>
      </c>
      <c r="F299" s="29">
        <v>14</v>
      </c>
      <c r="G299" s="29">
        <v>0.375</v>
      </c>
      <c r="H299" s="27">
        <f t="shared" si="132"/>
        <v>13.25</v>
      </c>
      <c r="I299" s="27">
        <f t="shared" si="133"/>
        <v>16.05157496443535</v>
      </c>
      <c r="J299" s="26">
        <f t="shared" si="134"/>
        <v>137.88646506146452</v>
      </c>
      <c r="K299" s="28">
        <f t="shared" si="110"/>
        <v>54.565980759300956</v>
      </c>
      <c r="L299" s="60">
        <f t="shared" si="135"/>
        <v>59.787807510835705</v>
      </c>
      <c r="M299" s="104">
        <f t="shared" si="136"/>
        <v>114.35378827013666</v>
      </c>
      <c r="N299" s="29">
        <f t="shared" si="130"/>
        <v>372.7602076701881</v>
      </c>
      <c r="O299" s="81">
        <f t="shared" si="131"/>
        <v>53.251458238598296</v>
      </c>
      <c r="P299" s="81">
        <f t="shared" si="109"/>
        <v>4.818989131550309</v>
      </c>
    </row>
    <row r="300" spans="2:16" ht="11.25">
      <c r="B300" s="15">
        <v>6</v>
      </c>
      <c r="C300" s="23">
        <f t="shared" si="137"/>
        <v>1906</v>
      </c>
      <c r="D300" s="24">
        <v>14</v>
      </c>
      <c r="E300" s="25" t="s">
        <v>0</v>
      </c>
      <c r="F300" s="29">
        <v>14</v>
      </c>
      <c r="G300" s="29">
        <v>0.375</v>
      </c>
      <c r="H300" s="27">
        <f t="shared" si="132"/>
        <v>13.25</v>
      </c>
      <c r="I300" s="27">
        <f t="shared" si="133"/>
        <v>16.05157496443535</v>
      </c>
      <c r="J300" s="26">
        <f t="shared" si="134"/>
        <v>137.88646506146452</v>
      </c>
      <c r="K300" s="28">
        <f t="shared" si="110"/>
        <v>54.565980759300956</v>
      </c>
      <c r="L300" s="60">
        <f t="shared" si="135"/>
        <v>59.787807510835705</v>
      </c>
      <c r="M300" s="104">
        <f t="shared" si="136"/>
        <v>114.35378827013666</v>
      </c>
      <c r="N300" s="29">
        <f t="shared" si="130"/>
        <v>372.7602076701881</v>
      </c>
      <c r="O300" s="81">
        <f t="shared" si="131"/>
        <v>53.251458238598296</v>
      </c>
      <c r="P300" s="81">
        <f aca="true" t="shared" si="138" ref="P300:P371">SQRT(N300/I300)</f>
        <v>4.818989131550309</v>
      </c>
    </row>
    <row r="301" spans="2:16" ht="11.25">
      <c r="B301" s="15">
        <v>7</v>
      </c>
      <c r="C301" s="23">
        <f t="shared" si="137"/>
        <v>1907</v>
      </c>
      <c r="D301" s="24">
        <v>14</v>
      </c>
      <c r="E301" s="25">
        <v>40</v>
      </c>
      <c r="F301" s="29">
        <v>14</v>
      </c>
      <c r="G301" s="29">
        <v>0.438</v>
      </c>
      <c r="H301" s="27">
        <f t="shared" si="132"/>
        <v>13.124</v>
      </c>
      <c r="I301" s="27">
        <f t="shared" si="133"/>
        <v>18.661550450777316</v>
      </c>
      <c r="J301" s="26">
        <f t="shared" si="134"/>
        <v>135.27648957512255</v>
      </c>
      <c r="K301" s="28">
        <f aca="true" t="shared" si="139" ref="K301:K372">I301*3.399416</f>
        <v>63.43837318717962</v>
      </c>
      <c r="L301" s="60">
        <f t="shared" si="135"/>
        <v>58.65611766792144</v>
      </c>
      <c r="M301" s="104">
        <f t="shared" si="136"/>
        <v>122.09449085510107</v>
      </c>
      <c r="N301" s="29">
        <f t="shared" si="130"/>
        <v>429.4948558241723</v>
      </c>
      <c r="O301" s="81">
        <f t="shared" si="131"/>
        <v>61.356407974881755</v>
      </c>
      <c r="P301" s="81">
        <f t="shared" si="138"/>
        <v>4.797391061816828</v>
      </c>
    </row>
    <row r="302" spans="2:16" ht="11.25">
      <c r="B302" s="15">
        <v>8</v>
      </c>
      <c r="C302" s="23">
        <f t="shared" si="137"/>
        <v>1908</v>
      </c>
      <c r="D302" s="24">
        <v>14</v>
      </c>
      <c r="E302" s="25" t="s">
        <v>1</v>
      </c>
      <c r="F302" s="29">
        <v>14</v>
      </c>
      <c r="G302" s="29">
        <v>0.5</v>
      </c>
      <c r="H302" s="27">
        <f t="shared" si="132"/>
        <v>13</v>
      </c>
      <c r="I302" s="27">
        <f t="shared" si="133"/>
        <v>21.205750411731103</v>
      </c>
      <c r="J302" s="26">
        <f t="shared" si="134"/>
        <v>132.73228961416876</v>
      </c>
      <c r="K302" s="28">
        <f t="shared" si="139"/>
        <v>72.0871672416453</v>
      </c>
      <c r="L302" s="60">
        <f t="shared" si="135"/>
        <v>57.55294820551789</v>
      </c>
      <c r="M302" s="104">
        <f t="shared" si="136"/>
        <v>129.6401154471632</v>
      </c>
      <c r="N302" s="29">
        <f t="shared" si="130"/>
        <v>483.7561812676158</v>
      </c>
      <c r="O302" s="81">
        <f t="shared" si="131"/>
        <v>69.10802589537369</v>
      </c>
      <c r="P302" s="81">
        <f t="shared" si="138"/>
        <v>4.7762432936357</v>
      </c>
    </row>
    <row r="303" spans="2:16" ht="11.25">
      <c r="B303" s="15">
        <v>9</v>
      </c>
      <c r="C303" s="23">
        <f t="shared" si="137"/>
        <v>1909</v>
      </c>
      <c r="D303" s="24">
        <v>14</v>
      </c>
      <c r="E303" s="25">
        <v>60</v>
      </c>
      <c r="F303" s="29">
        <v>14</v>
      </c>
      <c r="G303" s="29">
        <v>0.593</v>
      </c>
      <c r="H303" s="27">
        <f t="shared" si="132"/>
        <v>12.814</v>
      </c>
      <c r="I303" s="27">
        <f t="shared" si="133"/>
        <v>24.976764295060256</v>
      </c>
      <c r="J303" s="26">
        <f t="shared" si="134"/>
        <v>128.96127573083962</v>
      </c>
      <c r="K303" s="28">
        <f t="shared" si="139"/>
        <v>84.90641217285656</v>
      </c>
      <c r="L303" s="60">
        <f t="shared" si="135"/>
        <v>55.91783012430035</v>
      </c>
      <c r="M303" s="104">
        <f t="shared" si="136"/>
        <v>140.8242422971569</v>
      </c>
      <c r="N303" s="29">
        <f t="shared" si="130"/>
        <v>562.2872144814771</v>
      </c>
      <c r="O303" s="81">
        <f t="shared" si="131"/>
        <v>80.3267449259253</v>
      </c>
      <c r="P303" s="81">
        <f t="shared" si="138"/>
        <v>4.7447246758900565</v>
      </c>
    </row>
    <row r="304" spans="2:16" ht="11.25">
      <c r="B304" s="15">
        <v>10</v>
      </c>
      <c r="C304" s="23">
        <f t="shared" si="137"/>
        <v>1910</v>
      </c>
      <c r="D304" s="24">
        <v>14</v>
      </c>
      <c r="E304" s="25">
        <v>80</v>
      </c>
      <c r="F304" s="29">
        <v>14</v>
      </c>
      <c r="G304" s="29">
        <v>0.75</v>
      </c>
      <c r="H304" s="27">
        <f t="shared" si="132"/>
        <v>12.5</v>
      </c>
      <c r="I304" s="27">
        <f t="shared" si="133"/>
        <v>31.21957699504857</v>
      </c>
      <c r="J304" s="26">
        <f t="shared" si="134"/>
        <v>122.7184630308513</v>
      </c>
      <c r="K304" s="28">
        <f t="shared" si="139"/>
        <v>106.12832955020004</v>
      </c>
      <c r="L304" s="60">
        <f t="shared" si="135"/>
        <v>53.210935840900426</v>
      </c>
      <c r="M304" s="104">
        <f t="shared" si="136"/>
        <v>159.33926539110047</v>
      </c>
      <c r="N304" s="29">
        <f t="shared" si="130"/>
        <v>687.3184997816162</v>
      </c>
      <c r="O304" s="81">
        <f t="shared" si="131"/>
        <v>98.18835711165946</v>
      </c>
      <c r="P304" s="81">
        <f t="shared" si="138"/>
        <v>4.692081094780865</v>
      </c>
    </row>
    <row r="305" spans="2:16" ht="11.25">
      <c r="B305" s="15">
        <v>11</v>
      </c>
      <c r="C305" s="23">
        <f t="shared" si="137"/>
        <v>1911</v>
      </c>
      <c r="D305" s="24">
        <v>14</v>
      </c>
      <c r="E305" s="25">
        <v>100</v>
      </c>
      <c r="F305" s="29">
        <v>14</v>
      </c>
      <c r="G305" s="29">
        <v>0.937</v>
      </c>
      <c r="H305" s="27">
        <f t="shared" si="132"/>
        <v>12.126</v>
      </c>
      <c r="I305" s="27">
        <f t="shared" si="133"/>
        <v>38.453191469311335</v>
      </c>
      <c r="J305" s="26">
        <f t="shared" si="134"/>
        <v>115.48484855658853</v>
      </c>
      <c r="K305" s="28">
        <f t="shared" si="139"/>
        <v>130.71839433184047</v>
      </c>
      <c r="L305" s="60">
        <f t="shared" si="135"/>
        <v>50.0744282104957</v>
      </c>
      <c r="M305" s="104">
        <f t="shared" si="136"/>
        <v>180.79282254233618</v>
      </c>
      <c r="N305" s="29">
        <f t="shared" si="130"/>
        <v>824.4361270898012</v>
      </c>
      <c r="O305" s="81">
        <f t="shared" si="131"/>
        <v>117.77658958425731</v>
      </c>
      <c r="P305" s="81">
        <f t="shared" si="138"/>
        <v>4.630333924243478</v>
      </c>
    </row>
    <row r="306" spans="2:16" ht="11.25">
      <c r="B306" s="15">
        <v>12</v>
      </c>
      <c r="C306" s="23">
        <f t="shared" si="137"/>
        <v>1912</v>
      </c>
      <c r="D306" s="24">
        <v>14</v>
      </c>
      <c r="E306" s="25">
        <v>120</v>
      </c>
      <c r="F306" s="29">
        <v>14</v>
      </c>
      <c r="G306" s="29">
        <v>1.093</v>
      </c>
      <c r="H306" s="27">
        <f t="shared" si="132"/>
        <v>11.814</v>
      </c>
      <c r="I306" s="27">
        <f t="shared" si="133"/>
        <v>44.319550263212626</v>
      </c>
      <c r="J306" s="26">
        <f t="shared" si="134"/>
        <v>109.61848976268723</v>
      </c>
      <c r="K306" s="28">
        <f t="shared" si="139"/>
        <v>150.66058827756922</v>
      </c>
      <c r="L306" s="60">
        <f t="shared" si="135"/>
        <v>47.53076498580628</v>
      </c>
      <c r="M306" s="104">
        <f t="shared" si="136"/>
        <v>198.1913532633755</v>
      </c>
      <c r="N306" s="29">
        <f t="shared" si="130"/>
        <v>929.5211185173886</v>
      </c>
      <c r="O306" s="81">
        <f t="shared" si="131"/>
        <v>132.7887312167698</v>
      </c>
      <c r="P306" s="81">
        <f t="shared" si="138"/>
        <v>4.5796465202021865</v>
      </c>
    </row>
    <row r="307" spans="2:16" ht="11.25">
      <c r="B307" s="15">
        <v>13</v>
      </c>
      <c r="C307" s="23">
        <f t="shared" si="137"/>
        <v>1913</v>
      </c>
      <c r="D307" s="24">
        <v>14</v>
      </c>
      <c r="E307" s="25">
        <v>140</v>
      </c>
      <c r="F307" s="29">
        <v>14</v>
      </c>
      <c r="G307" s="29">
        <v>1.25</v>
      </c>
      <c r="H307" s="27">
        <f t="shared" si="132"/>
        <v>11.5</v>
      </c>
      <c r="I307" s="27">
        <f t="shared" si="133"/>
        <v>50.06913291658733</v>
      </c>
      <c r="J307" s="26">
        <f t="shared" si="134"/>
        <v>103.86890710931253</v>
      </c>
      <c r="K307" s="28">
        <f t="shared" si="139"/>
        <v>170.20581154277363</v>
      </c>
      <c r="L307" s="60">
        <f t="shared" si="135"/>
        <v>45.03773609573811</v>
      </c>
      <c r="M307" s="104">
        <f t="shared" si="136"/>
        <v>215.24354763851176</v>
      </c>
      <c r="N307" s="29">
        <f t="shared" si="130"/>
        <v>1027.199554991862</v>
      </c>
      <c r="O307" s="81">
        <f t="shared" si="131"/>
        <v>146.742793570266</v>
      </c>
      <c r="P307" s="81">
        <f t="shared" si="138"/>
        <v>4.529417732998359</v>
      </c>
    </row>
    <row r="308" spans="2:16" ht="11.25">
      <c r="B308" s="15">
        <v>14</v>
      </c>
      <c r="C308" s="23">
        <f t="shared" si="137"/>
        <v>1914</v>
      </c>
      <c r="D308" s="24">
        <v>14</v>
      </c>
      <c r="E308" s="25">
        <v>160</v>
      </c>
      <c r="F308" s="29">
        <v>14</v>
      </c>
      <c r="G308" s="29">
        <v>1.406</v>
      </c>
      <c r="H308" s="27">
        <f t="shared" si="132"/>
        <v>11.188</v>
      </c>
      <c r="I308" s="27">
        <f t="shared" si="133"/>
        <v>55.62869633830964</v>
      </c>
      <c r="J308" s="26">
        <f t="shared" si="134"/>
        <v>98.30934368759023</v>
      </c>
      <c r="K308" s="28">
        <f t="shared" si="139"/>
        <v>189.1050803915912</v>
      </c>
      <c r="L308" s="60">
        <f t="shared" si="135"/>
        <v>42.62709987010097</v>
      </c>
      <c r="M308" s="104">
        <f t="shared" si="136"/>
        <v>231.73218026169218</v>
      </c>
      <c r="N308" s="29">
        <f t="shared" si="130"/>
        <v>1116.646447996424</v>
      </c>
      <c r="O308" s="81">
        <f t="shared" si="131"/>
        <v>159.52092114234628</v>
      </c>
      <c r="P308" s="81">
        <f t="shared" si="138"/>
        <v>4.480313493495739</v>
      </c>
    </row>
    <row r="309" spans="2:16" ht="11.25" hidden="1">
      <c r="B309" s="15">
        <v>15</v>
      </c>
      <c r="C309" s="23">
        <f t="shared" si="137"/>
        <v>1915</v>
      </c>
      <c r="D309" s="24"/>
      <c r="E309" s="25"/>
      <c r="F309" s="29"/>
      <c r="G309" s="29"/>
      <c r="H309" s="27"/>
      <c r="I309" s="27"/>
      <c r="J309" s="26"/>
      <c r="K309" s="28"/>
      <c r="L309" s="79"/>
      <c r="M309" s="60"/>
      <c r="N309" s="81"/>
      <c r="O309" s="81"/>
      <c r="P309" s="81"/>
    </row>
    <row r="310" spans="2:16" ht="11.25" hidden="1">
      <c r="B310" s="15">
        <v>16</v>
      </c>
      <c r="C310" s="23">
        <f t="shared" si="137"/>
        <v>1916</v>
      </c>
      <c r="D310" s="24"/>
      <c r="E310" s="25"/>
      <c r="F310" s="29"/>
      <c r="G310" s="29"/>
      <c r="H310" s="27"/>
      <c r="I310" s="27"/>
      <c r="J310" s="26"/>
      <c r="K310" s="28"/>
      <c r="L310" s="79"/>
      <c r="M310" s="60"/>
      <c r="N310" s="81"/>
      <c r="O310" s="81"/>
      <c r="P310" s="81"/>
    </row>
    <row r="311" spans="1:16" ht="11.25">
      <c r="A311" s="23">
        <v>20</v>
      </c>
      <c r="B311" s="15">
        <v>1</v>
      </c>
      <c r="C311" s="23">
        <f>$A$311*100+B311</f>
        <v>2001</v>
      </c>
      <c r="D311" s="24">
        <v>16</v>
      </c>
      <c r="E311" s="25" t="s">
        <v>10</v>
      </c>
      <c r="F311" s="29">
        <v>16</v>
      </c>
      <c r="G311" s="29">
        <v>0.169</v>
      </c>
      <c r="H311" s="27">
        <f>F311-2*G311</f>
        <v>15.662</v>
      </c>
      <c r="I311" s="27">
        <f>PI()*(F311^2-H311^2)/4</f>
        <v>8.405139507527592</v>
      </c>
      <c r="J311" s="26">
        <f>PI()*H311^2/4</f>
        <v>192.65679032221917</v>
      </c>
      <c r="K311" s="28">
        <f t="shared" si="139"/>
        <v>28.572565724121414</v>
      </c>
      <c r="L311" s="60">
        <f aca="true" t="shared" si="140" ref="L311:L324">$J311*0.254^3*2.205*12</f>
        <v>83.53631438956505</v>
      </c>
      <c r="M311" s="104">
        <f aca="true" t="shared" si="141" ref="M311:M324">K311+L311</f>
        <v>112.10888011368647</v>
      </c>
      <c r="N311" s="29">
        <f t="shared" si="130"/>
        <v>263.342604731163</v>
      </c>
      <c r="O311" s="81">
        <f t="shared" si="131"/>
        <v>32.91782559139538</v>
      </c>
      <c r="P311" s="81">
        <f t="shared" si="138"/>
        <v>5.597422643502991</v>
      </c>
    </row>
    <row r="312" spans="2:16" ht="11.25">
      <c r="B312" s="15">
        <v>2</v>
      </c>
      <c r="C312" s="23">
        <f aca="true" t="shared" si="142" ref="C312:C326">$A$311*100+B312</f>
        <v>2002</v>
      </c>
      <c r="D312" s="24">
        <v>16</v>
      </c>
      <c r="E312" s="25" t="s">
        <v>11</v>
      </c>
      <c r="F312" s="29">
        <v>16</v>
      </c>
      <c r="G312" s="29">
        <v>0.188</v>
      </c>
      <c r="H312" s="27">
        <f>F312-2*G312</f>
        <v>15.624</v>
      </c>
      <c r="I312" s="27">
        <f>PI()*(F312^2-H312^2)/4</f>
        <v>9.3388742512496</v>
      </c>
      <c r="J312" s="26">
        <f>PI()*H312^2/4</f>
        <v>191.72305557849717</v>
      </c>
      <c r="K312" s="28">
        <f t="shared" si="139"/>
        <v>31.74671855168591</v>
      </c>
      <c r="L312" s="60">
        <f t="shared" si="140"/>
        <v>83.13144540478872</v>
      </c>
      <c r="M312" s="104">
        <f t="shared" si="141"/>
        <v>114.87816395647462</v>
      </c>
      <c r="N312" s="29">
        <f t="shared" si="130"/>
        <v>291.9036608959315</v>
      </c>
      <c r="O312" s="81">
        <f t="shared" si="131"/>
        <v>36.48795761199144</v>
      </c>
      <c r="P312" s="81">
        <f t="shared" si="138"/>
        <v>5.590781340742991</v>
      </c>
    </row>
    <row r="313" spans="2:16" ht="11.25">
      <c r="B313" s="15">
        <v>3</v>
      </c>
      <c r="C313" s="23">
        <f t="shared" si="142"/>
        <v>2003</v>
      </c>
      <c r="D313" s="24">
        <v>16</v>
      </c>
      <c r="E313" s="25">
        <v>10</v>
      </c>
      <c r="F313" s="29">
        <v>16</v>
      </c>
      <c r="G313" s="29">
        <v>0.25</v>
      </c>
      <c r="H313" s="27">
        <f>F313-2*G313</f>
        <v>15.5</v>
      </c>
      <c r="I313" s="27">
        <f>PI()*(F313^2-H313^2)/4</f>
        <v>12.370021073509811</v>
      </c>
      <c r="J313" s="26">
        <f>PI()*H313^2/4</f>
        <v>188.69190875623696</v>
      </c>
      <c r="K313" s="28">
        <f t="shared" si="139"/>
        <v>42.050847557626426</v>
      </c>
      <c r="L313" s="60">
        <f t="shared" si="140"/>
        <v>81.81713494896847</v>
      </c>
      <c r="M313" s="104">
        <f t="shared" si="141"/>
        <v>123.8679825065949</v>
      </c>
      <c r="N313" s="29">
        <f t="shared" si="130"/>
        <v>383.6639348580777</v>
      </c>
      <c r="O313" s="81">
        <f t="shared" si="131"/>
        <v>47.957991857259714</v>
      </c>
      <c r="P313" s="81">
        <f t="shared" si="138"/>
        <v>5.569167352486366</v>
      </c>
    </row>
    <row r="314" spans="2:16" ht="11.25">
      <c r="B314" s="15">
        <v>4</v>
      </c>
      <c r="C314" s="23">
        <f t="shared" si="142"/>
        <v>2004</v>
      </c>
      <c r="D314" s="24">
        <v>16</v>
      </c>
      <c r="E314" s="25">
        <v>20</v>
      </c>
      <c r="F314" s="29">
        <v>16</v>
      </c>
      <c r="G314" s="29">
        <v>0.312</v>
      </c>
      <c r="H314" s="27">
        <f aca="true" t="shared" si="143" ref="H314:H328">F314-2*G314</f>
        <v>15.376</v>
      </c>
      <c r="I314" s="27">
        <f aca="true" t="shared" si="144" ref="I314:I328">PI()*(F314^2-H314^2)/4</f>
        <v>15.377015331449217</v>
      </c>
      <c r="J314" s="26">
        <f aca="true" t="shared" si="145" ref="J314:J328">PI()*H314^2/4</f>
        <v>185.68491449829753</v>
      </c>
      <c r="K314" s="28">
        <f t="shared" si="139"/>
        <v>52.27287194997377</v>
      </c>
      <c r="L314" s="60">
        <f t="shared" si="140"/>
        <v>80.51329708642172</v>
      </c>
      <c r="M314" s="104">
        <f t="shared" si="141"/>
        <v>132.78616903639548</v>
      </c>
      <c r="N314" s="29">
        <f t="shared" si="130"/>
        <v>473.24819051783265</v>
      </c>
      <c r="O314" s="81">
        <f t="shared" si="131"/>
        <v>59.15602381472908</v>
      </c>
      <c r="P314" s="81">
        <f t="shared" si="138"/>
        <v>5.547642382129548</v>
      </c>
    </row>
    <row r="315" spans="2:16" ht="11.25">
      <c r="B315" s="15">
        <v>5</v>
      </c>
      <c r="C315" s="23">
        <f t="shared" si="142"/>
        <v>2005</v>
      </c>
      <c r="D315" s="24">
        <v>16</v>
      </c>
      <c r="E315" s="25">
        <v>30</v>
      </c>
      <c r="F315" s="29">
        <v>16</v>
      </c>
      <c r="G315" s="29">
        <v>0.375</v>
      </c>
      <c r="H315" s="27">
        <f t="shared" si="143"/>
        <v>15.25</v>
      </c>
      <c r="I315" s="27">
        <f t="shared" si="144"/>
        <v>18.407769454627694</v>
      </c>
      <c r="J315" s="26">
        <f t="shared" si="145"/>
        <v>182.65416037511906</v>
      </c>
      <c r="K315" s="28">
        <f t="shared" si="139"/>
        <v>62.57566600837266</v>
      </c>
      <c r="L315" s="60">
        <f t="shared" si="140"/>
        <v>79.19915690559618</v>
      </c>
      <c r="M315" s="104">
        <f t="shared" si="141"/>
        <v>141.77482291396885</v>
      </c>
      <c r="N315" s="29">
        <f t="shared" si="130"/>
        <v>562.0841165110339</v>
      </c>
      <c r="O315" s="81">
        <f t="shared" si="131"/>
        <v>70.26051456387924</v>
      </c>
      <c r="P315" s="81">
        <f t="shared" si="138"/>
        <v>5.525862489240933</v>
      </c>
    </row>
    <row r="316" spans="2:16" ht="11.25">
      <c r="B316" s="15">
        <v>6</v>
      </c>
      <c r="C316" s="23">
        <f t="shared" si="142"/>
        <v>2006</v>
      </c>
      <c r="D316" s="24">
        <v>16</v>
      </c>
      <c r="E316" s="25" t="s">
        <v>0</v>
      </c>
      <c r="F316" s="29">
        <v>16</v>
      </c>
      <c r="G316" s="29">
        <v>0.375</v>
      </c>
      <c r="H316" s="27">
        <f t="shared" si="143"/>
        <v>15.25</v>
      </c>
      <c r="I316" s="27">
        <f t="shared" si="144"/>
        <v>18.407769454627694</v>
      </c>
      <c r="J316" s="26">
        <f t="shared" si="145"/>
        <v>182.65416037511906</v>
      </c>
      <c r="K316" s="28">
        <f t="shared" si="139"/>
        <v>62.57566600837266</v>
      </c>
      <c r="L316" s="60">
        <f t="shared" si="140"/>
        <v>79.19915690559618</v>
      </c>
      <c r="M316" s="104">
        <f t="shared" si="141"/>
        <v>141.77482291396885</v>
      </c>
      <c r="N316" s="29">
        <f t="shared" si="130"/>
        <v>562.0841165110339</v>
      </c>
      <c r="O316" s="81">
        <f t="shared" si="131"/>
        <v>70.26051456387924</v>
      </c>
      <c r="P316" s="81">
        <f t="shared" si="138"/>
        <v>5.525862489240933</v>
      </c>
    </row>
    <row r="317" spans="2:16" ht="11.25">
      <c r="B317" s="15">
        <v>7</v>
      </c>
      <c r="C317" s="23">
        <f t="shared" si="142"/>
        <v>2007</v>
      </c>
      <c r="D317" s="24">
        <v>16</v>
      </c>
      <c r="E317" s="25">
        <v>40</v>
      </c>
      <c r="F317" s="29">
        <v>16</v>
      </c>
      <c r="G317" s="29">
        <v>0.5</v>
      </c>
      <c r="H317" s="27">
        <f t="shared" si="143"/>
        <v>15</v>
      </c>
      <c r="I317" s="27">
        <f t="shared" si="144"/>
        <v>24.347343065320896</v>
      </c>
      <c r="J317" s="26">
        <f t="shared" si="145"/>
        <v>176.71458676442586</v>
      </c>
      <c r="K317" s="28">
        <f t="shared" si="139"/>
        <v>82.7667475737409</v>
      </c>
      <c r="L317" s="60">
        <f t="shared" si="140"/>
        <v>76.6237476108966</v>
      </c>
      <c r="M317" s="104">
        <f t="shared" si="141"/>
        <v>159.3904951846375</v>
      </c>
      <c r="N317" s="81">
        <f t="shared" si="130"/>
        <v>731.9420009012094</v>
      </c>
      <c r="O317" s="81">
        <f t="shared" si="131"/>
        <v>91.49275011265118</v>
      </c>
      <c r="P317" s="81">
        <f t="shared" si="138"/>
        <v>5.482928049865327</v>
      </c>
    </row>
    <row r="318" spans="2:16" ht="11.25">
      <c r="B318" s="15">
        <v>8</v>
      </c>
      <c r="C318" s="23">
        <f t="shared" si="142"/>
        <v>2008</v>
      </c>
      <c r="D318" s="24">
        <v>16</v>
      </c>
      <c r="E318" s="25" t="s">
        <v>1</v>
      </c>
      <c r="F318" s="29">
        <v>16</v>
      </c>
      <c r="G318" s="29">
        <v>0.5</v>
      </c>
      <c r="H318" s="27">
        <f t="shared" si="143"/>
        <v>15</v>
      </c>
      <c r="I318" s="27">
        <f t="shared" si="144"/>
        <v>24.347343065320896</v>
      </c>
      <c r="J318" s="26">
        <f t="shared" si="145"/>
        <v>176.71458676442586</v>
      </c>
      <c r="K318" s="28">
        <f t="shared" si="139"/>
        <v>82.7667475737409</v>
      </c>
      <c r="L318" s="60">
        <f t="shared" si="140"/>
        <v>76.6237476108966</v>
      </c>
      <c r="M318" s="104">
        <f t="shared" si="141"/>
        <v>159.3904951846375</v>
      </c>
      <c r="N318" s="29">
        <f t="shared" si="130"/>
        <v>731.9420009012094</v>
      </c>
      <c r="O318" s="81">
        <f t="shared" si="131"/>
        <v>91.49275011265118</v>
      </c>
      <c r="P318" s="81">
        <f t="shared" si="138"/>
        <v>5.482928049865327</v>
      </c>
    </row>
    <row r="319" spans="2:16" ht="11.25">
      <c r="B319" s="15">
        <v>9</v>
      </c>
      <c r="C319" s="23">
        <f t="shared" si="142"/>
        <v>2009</v>
      </c>
      <c r="D319" s="24">
        <v>16</v>
      </c>
      <c r="E319" s="25">
        <v>60</v>
      </c>
      <c r="F319" s="29">
        <v>16</v>
      </c>
      <c r="G319" s="29">
        <v>0.656</v>
      </c>
      <c r="H319" s="27">
        <f t="shared" si="143"/>
        <v>14.688</v>
      </c>
      <c r="I319" s="27">
        <f t="shared" si="144"/>
        <v>31.622216075903246</v>
      </c>
      <c r="J319" s="26">
        <f t="shared" si="145"/>
        <v>169.4397137538435</v>
      </c>
      <c r="K319" s="28">
        <f t="shared" si="139"/>
        <v>107.49706728388271</v>
      </c>
      <c r="L319" s="60">
        <f t="shared" si="140"/>
        <v>73.46935020844968</v>
      </c>
      <c r="M319" s="104">
        <f t="shared" si="141"/>
        <v>180.9664174923324</v>
      </c>
      <c r="N319" s="29">
        <f t="shared" si="130"/>
        <v>932.3362639400438</v>
      </c>
      <c r="O319" s="81">
        <f t="shared" si="131"/>
        <v>116.54203299250547</v>
      </c>
      <c r="P319" s="81">
        <f t="shared" si="138"/>
        <v>5.429878820010627</v>
      </c>
    </row>
    <row r="320" spans="2:16" ht="11.25">
      <c r="B320" s="15">
        <v>10</v>
      </c>
      <c r="C320" s="23">
        <f t="shared" si="142"/>
        <v>2010</v>
      </c>
      <c r="D320" s="24">
        <v>16</v>
      </c>
      <c r="E320" s="25">
        <v>80</v>
      </c>
      <c r="F320" s="29">
        <v>16</v>
      </c>
      <c r="G320" s="29">
        <v>0.843</v>
      </c>
      <c r="H320" s="27">
        <f t="shared" si="143"/>
        <v>14.314</v>
      </c>
      <c r="I320" s="27">
        <f t="shared" si="144"/>
        <v>40.14123203393821</v>
      </c>
      <c r="J320" s="26">
        <f t="shared" si="145"/>
        <v>160.92069779580856</v>
      </c>
      <c r="K320" s="28">
        <f t="shared" si="139"/>
        <v>136.45674643588208</v>
      </c>
      <c r="L320" s="60">
        <f t="shared" si="140"/>
        <v>69.77549029222303</v>
      </c>
      <c r="M320" s="104">
        <f t="shared" si="141"/>
        <v>206.2322367281051</v>
      </c>
      <c r="N320" s="27">
        <f t="shared" si="130"/>
        <v>1156.2947722685046</v>
      </c>
      <c r="O320" s="81">
        <f t="shared" si="131"/>
        <v>144.53684653356308</v>
      </c>
      <c r="P320" s="81">
        <f t="shared" si="138"/>
        <v>5.367090669068299</v>
      </c>
    </row>
    <row r="321" spans="2:16" ht="11.25">
      <c r="B321" s="15">
        <v>11</v>
      </c>
      <c r="C321" s="23">
        <f t="shared" si="142"/>
        <v>2011</v>
      </c>
      <c r="D321" s="24">
        <v>16</v>
      </c>
      <c r="E321" s="25">
        <v>100</v>
      </c>
      <c r="F321" s="29">
        <v>16</v>
      </c>
      <c r="G321" s="29">
        <v>1.031</v>
      </c>
      <c r="H321" s="27">
        <f t="shared" si="143"/>
        <v>13.938</v>
      </c>
      <c r="I321" s="27">
        <f t="shared" si="144"/>
        <v>48.48432194496475</v>
      </c>
      <c r="J321" s="26">
        <f t="shared" si="145"/>
        <v>152.57760788478203</v>
      </c>
      <c r="K321" s="28">
        <f t="shared" si="139"/>
        <v>164.81837976886428</v>
      </c>
      <c r="L321" s="60">
        <f t="shared" si="140"/>
        <v>66.15791221141794</v>
      </c>
      <c r="M321" s="104">
        <f t="shared" si="141"/>
        <v>230.9762919802822</v>
      </c>
      <c r="N321" s="27">
        <f t="shared" si="130"/>
        <v>1364.4331943725729</v>
      </c>
      <c r="O321" s="81">
        <f t="shared" si="131"/>
        <v>170.5541492965716</v>
      </c>
      <c r="P321" s="81">
        <f t="shared" si="138"/>
        <v>5.304878910022358</v>
      </c>
    </row>
    <row r="322" spans="2:16" ht="11.25">
      <c r="B322" s="15">
        <v>12</v>
      </c>
      <c r="C322" s="23">
        <f t="shared" si="142"/>
        <v>2012</v>
      </c>
      <c r="D322" s="24">
        <v>16</v>
      </c>
      <c r="E322" s="25">
        <v>120</v>
      </c>
      <c r="F322" s="29">
        <v>16</v>
      </c>
      <c r="G322" s="29">
        <v>1.218</v>
      </c>
      <c r="H322" s="27">
        <f t="shared" si="143"/>
        <v>13.564</v>
      </c>
      <c r="I322" s="27">
        <f t="shared" si="144"/>
        <v>56.56272953333374</v>
      </c>
      <c r="J322" s="26">
        <f t="shared" si="145"/>
        <v>144.49920029641302</v>
      </c>
      <c r="K322" s="28">
        <f t="shared" si="139"/>
        <v>192.28024777928724</v>
      </c>
      <c r="L322" s="60">
        <f t="shared" si="140"/>
        <v>62.65510083923445</v>
      </c>
      <c r="M322" s="104">
        <f t="shared" si="141"/>
        <v>254.9353486185217</v>
      </c>
      <c r="N322" s="27">
        <f t="shared" si="130"/>
        <v>1555.4117684723299</v>
      </c>
      <c r="O322" s="81">
        <f t="shared" si="131"/>
        <v>194.42647105904123</v>
      </c>
      <c r="P322" s="81">
        <f t="shared" si="138"/>
        <v>5.243937547301646</v>
      </c>
    </row>
    <row r="323" spans="2:16" ht="11.25">
      <c r="B323" s="15">
        <v>13</v>
      </c>
      <c r="C323" s="23">
        <f t="shared" si="142"/>
        <v>2013</v>
      </c>
      <c r="D323" s="24">
        <v>16</v>
      </c>
      <c r="E323" s="25">
        <v>140</v>
      </c>
      <c r="F323" s="29">
        <v>16</v>
      </c>
      <c r="G323" s="29">
        <v>1.438</v>
      </c>
      <c r="H323" s="27">
        <f t="shared" si="143"/>
        <v>13.124</v>
      </c>
      <c r="I323" s="27">
        <f t="shared" si="144"/>
        <v>65.7854402546242</v>
      </c>
      <c r="J323" s="26">
        <f t="shared" si="145"/>
        <v>135.27648957512255</v>
      </c>
      <c r="K323" s="28">
        <f t="shared" si="139"/>
        <v>223.6320781686136</v>
      </c>
      <c r="L323" s="60">
        <f t="shared" si="140"/>
        <v>58.65611766792144</v>
      </c>
      <c r="M323" s="104">
        <f t="shared" si="141"/>
        <v>282.288195836535</v>
      </c>
      <c r="N323" s="27">
        <f t="shared" si="130"/>
        <v>1760.7447427828472</v>
      </c>
      <c r="O323" s="81">
        <f t="shared" si="131"/>
        <v>220.0930928478559</v>
      </c>
      <c r="P323" s="81">
        <f t="shared" si="138"/>
        <v>5.173486348682096</v>
      </c>
    </row>
    <row r="324" spans="2:16" ht="11.25">
      <c r="B324" s="15">
        <v>14</v>
      </c>
      <c r="C324" s="23">
        <f t="shared" si="142"/>
        <v>2014</v>
      </c>
      <c r="D324" s="24">
        <v>16</v>
      </c>
      <c r="E324" s="25">
        <v>160</v>
      </c>
      <c r="F324" s="29">
        <v>16</v>
      </c>
      <c r="G324" s="29">
        <v>1.593</v>
      </c>
      <c r="H324" s="27">
        <f t="shared" si="143"/>
        <v>12.814</v>
      </c>
      <c r="I324" s="27">
        <f t="shared" si="144"/>
        <v>72.10065409890716</v>
      </c>
      <c r="J324" s="26">
        <f t="shared" si="145"/>
        <v>128.96127573083962</v>
      </c>
      <c r="K324" s="28">
        <f t="shared" si="139"/>
        <v>245.10011715429056</v>
      </c>
      <c r="L324" s="60">
        <f t="shared" si="140"/>
        <v>55.91783012430035</v>
      </c>
      <c r="M324" s="104">
        <f t="shared" si="141"/>
        <v>301.0179472785909</v>
      </c>
      <c r="N324" s="27">
        <f t="shared" si="130"/>
        <v>1893.537101440152</v>
      </c>
      <c r="O324" s="81">
        <f t="shared" si="131"/>
        <v>236.692137680019</v>
      </c>
      <c r="P324" s="81">
        <f t="shared" si="138"/>
        <v>5.124686551390241</v>
      </c>
    </row>
    <row r="325" spans="2:16" ht="11.25" hidden="1">
      <c r="B325" s="15">
        <v>15</v>
      </c>
      <c r="C325" s="23">
        <f t="shared" si="142"/>
        <v>2015</v>
      </c>
      <c r="D325" s="24"/>
      <c r="E325" s="25"/>
      <c r="F325" s="29"/>
      <c r="G325" s="29"/>
      <c r="H325" s="27"/>
      <c r="I325" s="27"/>
      <c r="J325" s="26"/>
      <c r="K325" s="28"/>
      <c r="L325" s="79"/>
      <c r="M325" s="60"/>
      <c r="N325" s="81"/>
      <c r="O325" s="81"/>
      <c r="P325" s="81"/>
    </row>
    <row r="326" spans="2:16" ht="11.25" hidden="1">
      <c r="B326" s="15">
        <v>16</v>
      </c>
      <c r="C326" s="23">
        <f t="shared" si="142"/>
        <v>2016</v>
      </c>
      <c r="D326" s="24"/>
      <c r="E326" s="25"/>
      <c r="F326" s="29"/>
      <c r="G326" s="29"/>
      <c r="H326" s="27"/>
      <c r="I326" s="27"/>
      <c r="J326" s="26"/>
      <c r="K326" s="28"/>
      <c r="L326" s="79"/>
      <c r="M326" s="60"/>
      <c r="N326" s="81"/>
      <c r="O326" s="81"/>
      <c r="P326" s="81"/>
    </row>
    <row r="327" spans="1:16" ht="11.25">
      <c r="A327" s="23">
        <v>21</v>
      </c>
      <c r="B327" s="15">
        <v>1</v>
      </c>
      <c r="C327" s="23">
        <f>$A$327*100+B327</f>
        <v>2101</v>
      </c>
      <c r="D327" s="24">
        <v>18</v>
      </c>
      <c r="E327" s="25" t="s">
        <v>10</v>
      </c>
      <c r="F327" s="29">
        <v>18</v>
      </c>
      <c r="G327" s="29">
        <v>0.165</v>
      </c>
      <c r="H327" s="27">
        <f t="shared" si="143"/>
        <v>17.67</v>
      </c>
      <c r="I327" s="27">
        <f t="shared" si="144"/>
        <v>9.245000321167652</v>
      </c>
      <c r="J327" s="26">
        <f t="shared" si="145"/>
        <v>245.22400461960558</v>
      </c>
      <c r="K327" s="28">
        <f t="shared" si="139"/>
        <v>31.427602011782454</v>
      </c>
      <c r="L327" s="60">
        <f aca="true" t="shared" si="146" ref="L327:L340">$J327*0.254^3*2.205*12</f>
        <v>106.32954857967945</v>
      </c>
      <c r="M327" s="104">
        <f aca="true" t="shared" si="147" ref="M327:M340">K327+L327</f>
        <v>137.7571505914619</v>
      </c>
      <c r="N327" s="29">
        <f t="shared" si="130"/>
        <v>367.62102405225863</v>
      </c>
      <c r="O327" s="81">
        <f t="shared" si="131"/>
        <v>40.84678045025096</v>
      </c>
      <c r="P327" s="81">
        <f t="shared" si="138"/>
        <v>6.305894563818838</v>
      </c>
    </row>
    <row r="328" spans="2:16" ht="11.25">
      <c r="B328" s="15">
        <v>2</v>
      </c>
      <c r="C328" s="23">
        <f aca="true" t="shared" si="148" ref="C328:C342">$A$327*100+B328</f>
        <v>2102</v>
      </c>
      <c r="D328" s="24">
        <v>18</v>
      </c>
      <c r="E328" s="25" t="s">
        <v>11</v>
      </c>
      <c r="F328" s="29">
        <v>18</v>
      </c>
      <c r="G328" s="29">
        <v>0.188</v>
      </c>
      <c r="H328" s="27">
        <f t="shared" si="143"/>
        <v>17.624</v>
      </c>
      <c r="I328" s="27">
        <f t="shared" si="144"/>
        <v>10.5201130889994</v>
      </c>
      <c r="J328" s="26">
        <f t="shared" si="145"/>
        <v>243.94889185177385</v>
      </c>
      <c r="K328" s="28">
        <f t="shared" si="139"/>
        <v>35.762240756553986</v>
      </c>
      <c r="L328" s="60">
        <f t="shared" si="146"/>
        <v>105.7766574987184</v>
      </c>
      <c r="M328" s="104">
        <f t="shared" si="147"/>
        <v>141.5388982552724</v>
      </c>
      <c r="N328" s="29">
        <f t="shared" si="130"/>
        <v>417.2575201504366</v>
      </c>
      <c r="O328" s="81">
        <f t="shared" si="131"/>
        <v>46.361946683381845</v>
      </c>
      <c r="P328" s="81">
        <f t="shared" si="138"/>
        <v>6.297843757985744</v>
      </c>
    </row>
    <row r="329" spans="2:16" ht="11.25">
      <c r="B329" s="15">
        <v>3</v>
      </c>
      <c r="C329" s="23">
        <f t="shared" si="148"/>
        <v>2103</v>
      </c>
      <c r="D329" s="24">
        <v>18</v>
      </c>
      <c r="E329" s="25">
        <v>10</v>
      </c>
      <c r="F329" s="29">
        <v>18</v>
      </c>
      <c r="G329" s="29">
        <v>0.25</v>
      </c>
      <c r="H329" s="27">
        <f>F329-2*G329</f>
        <v>17.5</v>
      </c>
      <c r="I329" s="27">
        <f>PI()*(F329^2-H329^2)/4</f>
        <v>13.940817400304708</v>
      </c>
      <c r="J329" s="26">
        <f>PI()*H329^2/4</f>
        <v>240.52818754046854</v>
      </c>
      <c r="K329" s="28">
        <f t="shared" si="139"/>
        <v>47.390637723674224</v>
      </c>
      <c r="L329" s="60">
        <f t="shared" si="146"/>
        <v>104.29343424816483</v>
      </c>
      <c r="M329" s="104">
        <f t="shared" si="147"/>
        <v>151.68407197183905</v>
      </c>
      <c r="N329" s="29">
        <f t="shared" si="130"/>
        <v>549.1375104088776</v>
      </c>
      <c r="O329" s="81">
        <f t="shared" si="131"/>
        <v>61.01527893431973</v>
      </c>
      <c r="P329" s="81">
        <f t="shared" si="138"/>
        <v>6.276195105316596</v>
      </c>
    </row>
    <row r="330" spans="2:16" ht="11.25">
      <c r="B330" s="15">
        <v>4</v>
      </c>
      <c r="C330" s="23">
        <f t="shared" si="148"/>
        <v>2104</v>
      </c>
      <c r="D330" s="24">
        <v>18</v>
      </c>
      <c r="E330" s="25">
        <v>20</v>
      </c>
      <c r="F330" s="29">
        <v>18</v>
      </c>
      <c r="G330" s="29">
        <v>0.312</v>
      </c>
      <c r="H330" s="27">
        <f aca="true" t="shared" si="149" ref="H330:H344">F330-2*G330</f>
        <v>17.376</v>
      </c>
      <c r="I330" s="27">
        <f aca="true" t="shared" si="150" ref="I330:I344">PI()*(F330^2-H330^2)/4</f>
        <v>17.337369147289213</v>
      </c>
      <c r="J330" s="26">
        <f aca="true" t="shared" si="151" ref="J330:J344">PI()*H330^2/4</f>
        <v>237.13163579348404</v>
      </c>
      <c r="K330" s="28">
        <f t="shared" si="139"/>
        <v>58.9369300772013</v>
      </c>
      <c r="L330" s="60">
        <f t="shared" si="146"/>
        <v>102.82068359088473</v>
      </c>
      <c r="M330" s="104">
        <f t="shared" si="147"/>
        <v>161.75761366808604</v>
      </c>
      <c r="N330" s="29">
        <f t="shared" si="130"/>
        <v>678.2437063979878</v>
      </c>
      <c r="O330" s="81">
        <f t="shared" si="131"/>
        <v>75.36041182199864</v>
      </c>
      <c r="P330" s="81">
        <f t="shared" si="138"/>
        <v>6.254625168625217</v>
      </c>
    </row>
    <row r="331" spans="2:16" ht="11.25">
      <c r="B331" s="15">
        <v>5</v>
      </c>
      <c r="C331" s="23">
        <f t="shared" si="148"/>
        <v>2105</v>
      </c>
      <c r="D331" s="24">
        <v>18</v>
      </c>
      <c r="E331" s="25" t="s">
        <v>0</v>
      </c>
      <c r="F331" s="29">
        <v>18</v>
      </c>
      <c r="G331" s="29">
        <v>0.375</v>
      </c>
      <c r="H331" s="27">
        <f t="shared" si="149"/>
        <v>17.25</v>
      </c>
      <c r="I331" s="27">
        <f t="shared" si="150"/>
        <v>20.763963944820038</v>
      </c>
      <c r="J331" s="26">
        <f t="shared" si="151"/>
        <v>233.7050409959532</v>
      </c>
      <c r="K331" s="28">
        <f t="shared" si="139"/>
        <v>70.58535125744436</v>
      </c>
      <c r="L331" s="60">
        <f t="shared" si="146"/>
        <v>101.33490621541074</v>
      </c>
      <c r="M331" s="104">
        <f t="shared" si="147"/>
        <v>171.9202574728551</v>
      </c>
      <c r="N331" s="29">
        <f t="shared" si="130"/>
        <v>806.6313337157628</v>
      </c>
      <c r="O331" s="81">
        <f t="shared" si="131"/>
        <v>89.62570374619587</v>
      </c>
      <c r="P331" s="81">
        <f t="shared" si="138"/>
        <v>6.2327888019729984</v>
      </c>
    </row>
    <row r="332" spans="2:16" ht="11.25">
      <c r="B332" s="15">
        <v>6</v>
      </c>
      <c r="C332" s="23">
        <f t="shared" si="148"/>
        <v>2106</v>
      </c>
      <c r="D332" s="24">
        <v>18</v>
      </c>
      <c r="E332" s="25">
        <v>30</v>
      </c>
      <c r="F332" s="29">
        <v>18</v>
      </c>
      <c r="G332" s="29">
        <v>0.438</v>
      </c>
      <c r="H332" s="27">
        <f t="shared" si="149"/>
        <v>17.124</v>
      </c>
      <c r="I332" s="27">
        <f t="shared" si="150"/>
        <v>24.165620779866686</v>
      </c>
      <c r="J332" s="26">
        <f t="shared" si="151"/>
        <v>230.30338416090655</v>
      </c>
      <c r="K332" s="28">
        <f t="shared" si="139"/>
        <v>82.14899792901129</v>
      </c>
      <c r="L332" s="60">
        <f t="shared" si="146"/>
        <v>99.85994198319963</v>
      </c>
      <c r="M332" s="104">
        <f t="shared" si="147"/>
        <v>182.0089399122109</v>
      </c>
      <c r="N332" s="29">
        <f t="shared" si="130"/>
        <v>932.2362103657065</v>
      </c>
      <c r="O332" s="81">
        <f t="shared" si="131"/>
        <v>103.58180115174517</v>
      </c>
      <c r="P332" s="81">
        <f t="shared" si="138"/>
        <v>6.2110354209262075</v>
      </c>
    </row>
    <row r="333" spans="2:16" ht="11.25">
      <c r="B333" s="15">
        <v>7</v>
      </c>
      <c r="C333" s="23">
        <f t="shared" si="148"/>
        <v>2107</v>
      </c>
      <c r="D333" s="24">
        <v>18</v>
      </c>
      <c r="E333" s="25" t="s">
        <v>1</v>
      </c>
      <c r="F333" s="29">
        <v>18</v>
      </c>
      <c r="G333" s="29">
        <v>0.5</v>
      </c>
      <c r="H333" s="27">
        <f t="shared" si="149"/>
        <v>17</v>
      </c>
      <c r="I333" s="27">
        <f t="shared" si="150"/>
        <v>27.48893571891069</v>
      </c>
      <c r="J333" s="26">
        <f t="shared" si="151"/>
        <v>226.98006922186255</v>
      </c>
      <c r="K333" s="28">
        <f t="shared" si="139"/>
        <v>93.4463279058365</v>
      </c>
      <c r="L333" s="60">
        <f t="shared" si="146"/>
        <v>98.41894693132942</v>
      </c>
      <c r="M333" s="104">
        <f t="shared" si="147"/>
        <v>191.8652748371659</v>
      </c>
      <c r="N333" s="29">
        <f t="shared" si="130"/>
        <v>1053.1698497307657</v>
      </c>
      <c r="O333" s="81">
        <f t="shared" si="131"/>
        <v>117.0188721923073</v>
      </c>
      <c r="P333" s="81">
        <f t="shared" si="138"/>
        <v>6.189709201569974</v>
      </c>
    </row>
    <row r="334" spans="2:16" ht="11.25">
      <c r="B334" s="15">
        <v>8</v>
      </c>
      <c r="C334" s="23">
        <f t="shared" si="148"/>
        <v>2108</v>
      </c>
      <c r="D334" s="24">
        <v>18</v>
      </c>
      <c r="E334" s="25">
        <v>40</v>
      </c>
      <c r="F334" s="29">
        <v>18</v>
      </c>
      <c r="G334" s="29">
        <v>0.562</v>
      </c>
      <c r="H334" s="27">
        <f t="shared" si="149"/>
        <v>16.876</v>
      </c>
      <c r="I334" s="27">
        <f t="shared" si="150"/>
        <v>30.78809809363389</v>
      </c>
      <c r="J334" s="26">
        <f t="shared" si="151"/>
        <v>223.68090684713934</v>
      </c>
      <c r="K334" s="28">
        <f t="shared" si="139"/>
        <v>104.66155326906855</v>
      </c>
      <c r="L334" s="60">
        <f t="shared" si="146"/>
        <v>96.98842447273265</v>
      </c>
      <c r="M334" s="104">
        <f t="shared" si="147"/>
        <v>201.6499777418012</v>
      </c>
      <c r="N334" s="29">
        <f t="shared" si="130"/>
        <v>1171.485931726944</v>
      </c>
      <c r="O334" s="81">
        <f t="shared" si="131"/>
        <v>130.165103525216</v>
      </c>
      <c r="P334" s="81">
        <f t="shared" si="138"/>
        <v>6.168465044077011</v>
      </c>
    </row>
    <row r="335" spans="2:16" ht="11.25">
      <c r="B335" s="15">
        <v>9</v>
      </c>
      <c r="C335" s="23">
        <f t="shared" si="148"/>
        <v>2109</v>
      </c>
      <c r="D335" s="24">
        <v>18</v>
      </c>
      <c r="E335" s="25">
        <v>60</v>
      </c>
      <c r="F335" s="29">
        <v>18</v>
      </c>
      <c r="G335" s="29">
        <v>0.75</v>
      </c>
      <c r="H335" s="27">
        <f t="shared" si="149"/>
        <v>16.5</v>
      </c>
      <c r="I335" s="27">
        <f t="shared" si="150"/>
        <v>40.644354955817946</v>
      </c>
      <c r="J335" s="26">
        <f t="shared" si="151"/>
        <v>213.8246499849553</v>
      </c>
      <c r="K335" s="28">
        <f t="shared" si="139"/>
        <v>138.16707054648683</v>
      </c>
      <c r="L335" s="60">
        <f t="shared" si="146"/>
        <v>92.7147346091849</v>
      </c>
      <c r="M335" s="104">
        <f t="shared" si="147"/>
        <v>230.8818051556717</v>
      </c>
      <c r="N335" s="29">
        <f t="shared" si="130"/>
        <v>1514.6372901504033</v>
      </c>
      <c r="O335" s="81">
        <f t="shared" si="131"/>
        <v>168.2930322389337</v>
      </c>
      <c r="P335" s="81">
        <f t="shared" si="138"/>
        <v>6.10455772353739</v>
      </c>
    </row>
    <row r="336" spans="2:16" ht="11.25">
      <c r="B336" s="15">
        <v>10</v>
      </c>
      <c r="C336" s="23">
        <f t="shared" si="148"/>
        <v>2110</v>
      </c>
      <c r="D336" s="24">
        <v>18</v>
      </c>
      <c r="E336" s="25">
        <v>80</v>
      </c>
      <c r="F336" s="29">
        <v>18</v>
      </c>
      <c r="G336" s="29">
        <v>0.937</v>
      </c>
      <c r="H336" s="27">
        <f t="shared" si="149"/>
        <v>16.126</v>
      </c>
      <c r="I336" s="27">
        <f t="shared" si="150"/>
        <v>50.22788073496585</v>
      </c>
      <c r="J336" s="26">
        <f t="shared" si="151"/>
        <v>204.24112420580738</v>
      </c>
      <c r="K336" s="28">
        <f t="shared" si="139"/>
        <v>170.74546141653468</v>
      </c>
      <c r="L336" s="60">
        <f t="shared" si="146"/>
        <v>88.55930141054995</v>
      </c>
      <c r="M336" s="104">
        <f t="shared" si="147"/>
        <v>259.30476282708463</v>
      </c>
      <c r="N336" s="29">
        <f t="shared" si="130"/>
        <v>1833.467941202383</v>
      </c>
      <c r="O336" s="81">
        <f t="shared" si="131"/>
        <v>203.7186601335981</v>
      </c>
      <c r="P336" s="81">
        <f t="shared" si="138"/>
        <v>6.041770622094156</v>
      </c>
    </row>
    <row r="337" spans="2:16" ht="11.25">
      <c r="B337" s="15">
        <v>11</v>
      </c>
      <c r="C337" s="23">
        <f t="shared" si="148"/>
        <v>2111</v>
      </c>
      <c r="D337" s="24">
        <v>18</v>
      </c>
      <c r="E337" s="25">
        <v>100</v>
      </c>
      <c r="F337" s="29">
        <v>18</v>
      </c>
      <c r="G337" s="29">
        <v>1.156</v>
      </c>
      <c r="H337" s="27">
        <f t="shared" si="149"/>
        <v>15.688</v>
      </c>
      <c r="I337" s="27">
        <f t="shared" si="150"/>
        <v>61.17203657556884</v>
      </c>
      <c r="J337" s="26">
        <f t="shared" si="151"/>
        <v>193.2969683652044</v>
      </c>
      <c r="K337" s="28">
        <f t="shared" si="139"/>
        <v>207.9491998875739</v>
      </c>
      <c r="L337" s="60">
        <f t="shared" si="146"/>
        <v>83.81389668591012</v>
      </c>
      <c r="M337" s="104">
        <f t="shared" si="147"/>
        <v>291.76309657348406</v>
      </c>
      <c r="N337" s="29">
        <f t="shared" si="130"/>
        <v>2179.6871457117413</v>
      </c>
      <c r="O337" s="81">
        <f t="shared" si="131"/>
        <v>242.18746063463792</v>
      </c>
      <c r="P337" s="81">
        <f t="shared" si="138"/>
        <v>5.9692615958759925</v>
      </c>
    </row>
    <row r="338" spans="2:16" ht="11.25">
      <c r="B338" s="15">
        <v>12</v>
      </c>
      <c r="C338" s="23">
        <f t="shared" si="148"/>
        <v>2112</v>
      </c>
      <c r="D338" s="24">
        <v>18</v>
      </c>
      <c r="E338" s="25">
        <v>120</v>
      </c>
      <c r="F338" s="29">
        <v>18</v>
      </c>
      <c r="G338" s="29">
        <v>1.375</v>
      </c>
      <c r="H338" s="27">
        <f t="shared" si="149"/>
        <v>15.25</v>
      </c>
      <c r="I338" s="27">
        <f t="shared" si="150"/>
        <v>71.81484456565418</v>
      </c>
      <c r="J338" s="26">
        <f t="shared" si="151"/>
        <v>182.65416037511906</v>
      </c>
      <c r="K338" s="28">
        <f t="shared" si="139"/>
        <v>244.1285316539979</v>
      </c>
      <c r="L338" s="60">
        <f t="shared" si="146"/>
        <v>79.19915690559618</v>
      </c>
      <c r="M338" s="104">
        <f t="shared" si="147"/>
        <v>323.3276885595941</v>
      </c>
      <c r="N338" s="29">
        <f t="shared" si="130"/>
        <v>2498.090589285744</v>
      </c>
      <c r="O338" s="81">
        <f t="shared" si="131"/>
        <v>277.56562103174934</v>
      </c>
      <c r="P338" s="81">
        <f t="shared" si="138"/>
        <v>5.89789422166929</v>
      </c>
    </row>
    <row r="339" spans="2:16" ht="11.25">
      <c r="B339" s="15">
        <v>13</v>
      </c>
      <c r="C339" s="23">
        <f t="shared" si="148"/>
        <v>2113</v>
      </c>
      <c r="D339" s="24">
        <v>18</v>
      </c>
      <c r="E339" s="25">
        <v>140</v>
      </c>
      <c r="F339" s="29">
        <v>18</v>
      </c>
      <c r="G339" s="29">
        <v>1.562</v>
      </c>
      <c r="H339" s="27">
        <f t="shared" si="149"/>
        <v>14.876</v>
      </c>
      <c r="I339" s="27">
        <f t="shared" si="150"/>
        <v>80.6640230620255</v>
      </c>
      <c r="J339" s="26">
        <f t="shared" si="151"/>
        <v>173.80498187874772</v>
      </c>
      <c r="K339" s="28">
        <f t="shared" si="139"/>
        <v>274.2105706214185</v>
      </c>
      <c r="L339" s="60">
        <f t="shared" si="146"/>
        <v>75.36213794703318</v>
      </c>
      <c r="M339" s="104">
        <f t="shared" si="147"/>
        <v>349.57270856845173</v>
      </c>
      <c r="N339" s="29">
        <f t="shared" si="130"/>
        <v>2749.1074240799917</v>
      </c>
      <c r="O339" s="81">
        <f t="shared" si="131"/>
        <v>305.45638045333243</v>
      </c>
      <c r="P339" s="81">
        <f t="shared" si="138"/>
        <v>5.837890115444106</v>
      </c>
    </row>
    <row r="340" spans="2:16" ht="11.25">
      <c r="B340" s="15">
        <v>14</v>
      </c>
      <c r="C340" s="23">
        <f t="shared" si="148"/>
        <v>2114</v>
      </c>
      <c r="D340" s="24">
        <v>18</v>
      </c>
      <c r="E340" s="25">
        <v>160</v>
      </c>
      <c r="F340" s="29">
        <v>18</v>
      </c>
      <c r="G340" s="29">
        <v>1.781</v>
      </c>
      <c r="H340" s="27">
        <f t="shared" si="149"/>
        <v>14.438</v>
      </c>
      <c r="I340" s="27">
        <f t="shared" si="150"/>
        <v>90.74816791370824</v>
      </c>
      <c r="J340" s="26">
        <f t="shared" si="151"/>
        <v>163.720837027065</v>
      </c>
      <c r="K340" s="28">
        <f t="shared" si="139"/>
        <v>308.49077397654645</v>
      </c>
      <c r="L340" s="60">
        <f t="shared" si="146"/>
        <v>70.98963546076638</v>
      </c>
      <c r="M340" s="104">
        <f t="shared" si="147"/>
        <v>379.4804094373128</v>
      </c>
      <c r="N340" s="29">
        <f t="shared" si="130"/>
        <v>3019.9620211217025</v>
      </c>
      <c r="O340" s="81">
        <f t="shared" si="131"/>
        <v>335.55133568018914</v>
      </c>
      <c r="P340" s="81">
        <f t="shared" si="138"/>
        <v>5.76875118634874</v>
      </c>
    </row>
    <row r="341" spans="2:16" ht="11.25" hidden="1">
      <c r="B341" s="15">
        <v>15</v>
      </c>
      <c r="C341" s="23">
        <f t="shared" si="148"/>
        <v>2115</v>
      </c>
      <c r="D341" s="24"/>
      <c r="E341" s="25"/>
      <c r="F341" s="29"/>
      <c r="G341" s="29"/>
      <c r="H341" s="27"/>
      <c r="I341" s="27"/>
      <c r="J341" s="26"/>
      <c r="K341" s="28"/>
      <c r="L341" s="79"/>
      <c r="M341" s="60"/>
      <c r="N341" s="81"/>
      <c r="O341" s="81"/>
      <c r="P341" s="81"/>
    </row>
    <row r="342" spans="2:16" ht="11.25" hidden="1">
      <c r="B342" s="15">
        <v>16</v>
      </c>
      <c r="C342" s="23">
        <f t="shared" si="148"/>
        <v>2116</v>
      </c>
      <c r="D342" s="24"/>
      <c r="E342" s="25"/>
      <c r="F342" s="29"/>
      <c r="G342" s="29"/>
      <c r="H342" s="27"/>
      <c r="I342" s="27"/>
      <c r="J342" s="26"/>
      <c r="K342" s="28"/>
      <c r="L342" s="79"/>
      <c r="M342" s="60"/>
      <c r="N342" s="81"/>
      <c r="O342" s="81"/>
      <c r="P342" s="81"/>
    </row>
    <row r="343" spans="1:16" ht="11.25">
      <c r="A343" s="23">
        <v>22</v>
      </c>
      <c r="B343" s="15">
        <v>1</v>
      </c>
      <c r="C343" s="23">
        <f>$A$343*100+B343</f>
        <v>2201</v>
      </c>
      <c r="D343" s="24">
        <v>20</v>
      </c>
      <c r="E343" s="25" t="s">
        <v>10</v>
      </c>
      <c r="F343" s="29">
        <v>20</v>
      </c>
      <c r="G343" s="29">
        <v>0.188</v>
      </c>
      <c r="H343" s="27">
        <f t="shared" si="149"/>
        <v>19.624</v>
      </c>
      <c r="I343" s="27">
        <f t="shared" si="150"/>
        <v>11.701351926749176</v>
      </c>
      <c r="J343" s="26">
        <f t="shared" si="151"/>
        <v>302.45791343223016</v>
      </c>
      <c r="K343" s="28">
        <f t="shared" si="139"/>
        <v>39.77776296142198</v>
      </c>
      <c r="L343" s="60">
        <f aca="true" t="shared" si="152" ref="L343:L356">$J343*0.254^3*2.205*12</f>
        <v>131.1462695077022</v>
      </c>
      <c r="M343" s="104">
        <f aca="true" t="shared" si="153" ref="M343:M356">K343+L343</f>
        <v>170.92403246912417</v>
      </c>
      <c r="N343" s="29">
        <f t="shared" si="130"/>
        <v>574.1717186719395</v>
      </c>
      <c r="O343" s="81">
        <f t="shared" si="131"/>
        <v>57.41717186719395</v>
      </c>
      <c r="P343" s="81">
        <f t="shared" si="138"/>
        <v>7.00491513153443</v>
      </c>
    </row>
    <row r="344" spans="2:16" ht="11.25">
      <c r="B344" s="15">
        <v>2</v>
      </c>
      <c r="C344" s="23">
        <f aca="true" t="shared" si="154" ref="C344:C358">$A$343*100+B344</f>
        <v>2202</v>
      </c>
      <c r="D344" s="24">
        <v>20</v>
      </c>
      <c r="E344" s="25" t="s">
        <v>11</v>
      </c>
      <c r="F344" s="29">
        <v>20</v>
      </c>
      <c r="G344" s="29">
        <v>0.218</v>
      </c>
      <c r="H344" s="27">
        <f t="shared" si="149"/>
        <v>19.564</v>
      </c>
      <c r="I344" s="27">
        <f t="shared" si="150"/>
        <v>13.548042920382308</v>
      </c>
      <c r="J344" s="26">
        <f t="shared" si="151"/>
        <v>300.611222438597</v>
      </c>
      <c r="K344" s="28">
        <f t="shared" si="139"/>
        <v>46.055433872234346</v>
      </c>
      <c r="L344" s="60">
        <f t="shared" si="152"/>
        <v>130.34554112866863</v>
      </c>
      <c r="M344" s="104">
        <f t="shared" si="153"/>
        <v>176.40097500090297</v>
      </c>
      <c r="N344" s="29">
        <f t="shared" si="130"/>
        <v>662.7957435338365</v>
      </c>
      <c r="O344" s="81">
        <f t="shared" si="131"/>
        <v>66.27957435338365</v>
      </c>
      <c r="P344" s="81">
        <f t="shared" si="138"/>
        <v>6.994417845682373</v>
      </c>
    </row>
    <row r="345" spans="2:16" ht="11.25">
      <c r="B345" s="15">
        <v>3</v>
      </c>
      <c r="C345" s="23">
        <f t="shared" si="154"/>
        <v>2203</v>
      </c>
      <c r="D345" s="24">
        <v>20</v>
      </c>
      <c r="E345" s="25">
        <v>10</v>
      </c>
      <c r="F345" s="29">
        <v>20</v>
      </c>
      <c r="G345" s="29">
        <v>0.25</v>
      </c>
      <c r="H345" s="27">
        <f>F345-2*G345</f>
        <v>19.5</v>
      </c>
      <c r="I345" s="27">
        <f>PI()*(F345^2-H345^2)/4</f>
        <v>15.511613727099604</v>
      </c>
      <c r="J345" s="26">
        <f>PI()*H345^2/4</f>
        <v>298.6476516318797</v>
      </c>
      <c r="K345" s="28">
        <f t="shared" si="139"/>
        <v>52.73042788972203</v>
      </c>
      <c r="L345" s="60">
        <f t="shared" si="152"/>
        <v>129.49413346241525</v>
      </c>
      <c r="M345" s="104">
        <f t="shared" si="153"/>
        <v>182.22456135213727</v>
      </c>
      <c r="N345" s="82">
        <f t="shared" si="130"/>
        <v>756.4335381605916</v>
      </c>
      <c r="O345" s="81">
        <f t="shared" si="131"/>
        <v>75.64335381605916</v>
      </c>
      <c r="P345" s="81">
        <f t="shared" si="138"/>
        <v>6.983238861731711</v>
      </c>
    </row>
    <row r="346" spans="2:16" ht="11.25">
      <c r="B346" s="15">
        <v>4</v>
      </c>
      <c r="C346" s="23">
        <f t="shared" si="154"/>
        <v>2204</v>
      </c>
      <c r="D346" s="24">
        <v>20</v>
      </c>
      <c r="E346" s="25">
        <v>20</v>
      </c>
      <c r="F346" s="29">
        <v>20</v>
      </c>
      <c r="G346" s="29">
        <v>0.375</v>
      </c>
      <c r="H346" s="27">
        <f aca="true" t="shared" si="155" ref="H346:H360">F346-2*G346</f>
        <v>19.25</v>
      </c>
      <c r="I346" s="27">
        <f aca="true" t="shared" si="156" ref="I346:I360">PI()*(F346^2-H346^2)/4</f>
        <v>23.120158435012385</v>
      </c>
      <c r="J346" s="26">
        <f aca="true" t="shared" si="157" ref="J346:J360">PI()*H346^2/4</f>
        <v>291.0391069239669</v>
      </c>
      <c r="K346" s="28">
        <f t="shared" si="139"/>
        <v>78.59503650651607</v>
      </c>
      <c r="L346" s="60">
        <f t="shared" si="152"/>
        <v>126.19505544027943</v>
      </c>
      <c r="M346" s="104">
        <f t="shared" si="153"/>
        <v>204.79009194679549</v>
      </c>
      <c r="N346" s="27">
        <f t="shared" si="130"/>
        <v>1113.4704427549518</v>
      </c>
      <c r="O346" s="81">
        <f t="shared" si="131"/>
        <v>111.34704427549518</v>
      </c>
      <c r="P346" s="81">
        <f t="shared" si="138"/>
        <v>6.939751886775203</v>
      </c>
    </row>
    <row r="347" spans="2:16" ht="11.25">
      <c r="B347" s="15">
        <v>5</v>
      </c>
      <c r="C347" s="23">
        <f t="shared" si="154"/>
        <v>2205</v>
      </c>
      <c r="D347" s="24">
        <v>20</v>
      </c>
      <c r="E347" s="25" t="s">
        <v>0</v>
      </c>
      <c r="F347" s="29">
        <v>20</v>
      </c>
      <c r="G347" s="29">
        <v>0.375</v>
      </c>
      <c r="H347" s="27">
        <f t="shared" si="155"/>
        <v>19.25</v>
      </c>
      <c r="I347" s="27">
        <f t="shared" si="156"/>
        <v>23.120158435012385</v>
      </c>
      <c r="J347" s="26">
        <f t="shared" si="157"/>
        <v>291.0391069239669</v>
      </c>
      <c r="K347" s="28">
        <f t="shared" si="139"/>
        <v>78.59503650651607</v>
      </c>
      <c r="L347" s="60">
        <f t="shared" si="152"/>
        <v>126.19505544027943</v>
      </c>
      <c r="M347" s="104">
        <f t="shared" si="153"/>
        <v>204.79009194679549</v>
      </c>
      <c r="N347" s="27">
        <f t="shared" si="130"/>
        <v>1113.4704427549518</v>
      </c>
      <c r="O347" s="81">
        <f t="shared" si="131"/>
        <v>111.34704427549518</v>
      </c>
      <c r="P347" s="81">
        <f t="shared" si="138"/>
        <v>6.939751886775203</v>
      </c>
    </row>
    <row r="348" spans="2:16" ht="11.25">
      <c r="B348" s="15">
        <v>6</v>
      </c>
      <c r="C348" s="23">
        <f t="shared" si="154"/>
        <v>2206</v>
      </c>
      <c r="D348" s="24">
        <v>20</v>
      </c>
      <c r="E348" s="25">
        <v>30</v>
      </c>
      <c r="F348" s="29">
        <v>20</v>
      </c>
      <c r="G348" s="29">
        <v>0.5</v>
      </c>
      <c r="H348" s="27">
        <f t="shared" si="155"/>
        <v>19</v>
      </c>
      <c r="I348" s="27">
        <f t="shared" si="156"/>
        <v>30.630528372500482</v>
      </c>
      <c r="J348" s="26">
        <f t="shared" si="157"/>
        <v>283.5287369864788</v>
      </c>
      <c r="K348" s="28">
        <f t="shared" si="139"/>
        <v>104.1259082379321</v>
      </c>
      <c r="L348" s="60">
        <f t="shared" si="152"/>
        <v>122.93854616681631</v>
      </c>
      <c r="M348" s="104">
        <f t="shared" si="153"/>
        <v>227.0644544047484</v>
      </c>
      <c r="N348" s="27">
        <f t="shared" si="130"/>
        <v>1456.8645057170543</v>
      </c>
      <c r="O348" s="81">
        <f t="shared" si="131"/>
        <v>145.68645057170542</v>
      </c>
      <c r="P348" s="81">
        <f t="shared" si="138"/>
        <v>6.896557112066861</v>
      </c>
    </row>
    <row r="349" spans="2:16" ht="11.25">
      <c r="B349" s="15">
        <v>7</v>
      </c>
      <c r="C349" s="23">
        <f t="shared" si="154"/>
        <v>2207</v>
      </c>
      <c r="D349" s="24">
        <v>20</v>
      </c>
      <c r="E349" s="25" t="s">
        <v>1</v>
      </c>
      <c r="F349" s="29">
        <v>20</v>
      </c>
      <c r="G349" s="29">
        <v>0.5</v>
      </c>
      <c r="H349" s="27">
        <f t="shared" si="155"/>
        <v>19</v>
      </c>
      <c r="I349" s="27">
        <f t="shared" si="156"/>
        <v>30.630528372500482</v>
      </c>
      <c r="J349" s="26">
        <f t="shared" si="157"/>
        <v>283.5287369864788</v>
      </c>
      <c r="K349" s="28">
        <f t="shared" si="139"/>
        <v>104.1259082379321</v>
      </c>
      <c r="L349" s="60">
        <f t="shared" si="152"/>
        <v>122.93854616681631</v>
      </c>
      <c r="M349" s="104">
        <f t="shared" si="153"/>
        <v>227.0644544047484</v>
      </c>
      <c r="N349" s="27">
        <f t="shared" si="130"/>
        <v>1456.8645057170543</v>
      </c>
      <c r="O349" s="81">
        <f t="shared" si="131"/>
        <v>145.68645057170542</v>
      </c>
      <c r="P349" s="81">
        <f t="shared" si="138"/>
        <v>6.896557112066861</v>
      </c>
    </row>
    <row r="350" spans="2:16" ht="11.25">
      <c r="B350" s="15">
        <v>8</v>
      </c>
      <c r="C350" s="23">
        <f t="shared" si="154"/>
        <v>2208</v>
      </c>
      <c r="D350" s="24">
        <v>20</v>
      </c>
      <c r="E350" s="25">
        <v>40</v>
      </c>
      <c r="F350" s="29">
        <v>20</v>
      </c>
      <c r="G350" s="29">
        <v>0.593</v>
      </c>
      <c r="H350" s="27">
        <f t="shared" si="155"/>
        <v>18.814</v>
      </c>
      <c r="I350" s="27">
        <f t="shared" si="156"/>
        <v>36.154550956532766</v>
      </c>
      <c r="J350" s="26">
        <f t="shared" si="157"/>
        <v>278.00471440244655</v>
      </c>
      <c r="K350" s="28">
        <f t="shared" si="139"/>
        <v>122.90435899445279</v>
      </c>
      <c r="L350" s="60">
        <f t="shared" si="152"/>
        <v>120.54332050929867</v>
      </c>
      <c r="M350" s="104">
        <f t="shared" si="153"/>
        <v>243.44767950375146</v>
      </c>
      <c r="N350" s="27">
        <f t="shared" si="130"/>
        <v>1703.707732162847</v>
      </c>
      <c r="O350" s="81">
        <f t="shared" si="131"/>
        <v>170.3707732162847</v>
      </c>
      <c r="P350" s="81">
        <f t="shared" si="138"/>
        <v>6.864613044447589</v>
      </c>
    </row>
    <row r="351" spans="2:16" ht="11.25">
      <c r="B351" s="15">
        <v>9</v>
      </c>
      <c r="C351" s="23">
        <f t="shared" si="154"/>
        <v>2209</v>
      </c>
      <c r="D351" s="24">
        <v>20</v>
      </c>
      <c r="E351" s="25">
        <v>60</v>
      </c>
      <c r="F351" s="29">
        <v>20</v>
      </c>
      <c r="G351" s="29">
        <v>0.812</v>
      </c>
      <c r="H351" s="27">
        <f t="shared" si="155"/>
        <v>18.376</v>
      </c>
      <c r="I351" s="27">
        <f t="shared" si="156"/>
        <v>48.9480744277097</v>
      </c>
      <c r="J351" s="26">
        <f t="shared" si="157"/>
        <v>265.2111909312696</v>
      </c>
      <c r="K351" s="28">
        <f t="shared" si="139"/>
        <v>166.3948673787472</v>
      </c>
      <c r="L351" s="60">
        <f t="shared" si="152"/>
        <v>114.99602681126149</v>
      </c>
      <c r="M351" s="104">
        <f t="shared" si="153"/>
        <v>281.3908941900087</v>
      </c>
      <c r="N351" s="27">
        <f t="shared" si="130"/>
        <v>2256.7429440053497</v>
      </c>
      <c r="O351" s="81">
        <f t="shared" si="131"/>
        <v>225.67429440053496</v>
      </c>
      <c r="P351" s="81">
        <f t="shared" si="138"/>
        <v>6.790054197132745</v>
      </c>
    </row>
    <row r="352" spans="2:16" ht="11.25">
      <c r="B352" s="15">
        <v>10</v>
      </c>
      <c r="C352" s="23">
        <f t="shared" si="154"/>
        <v>2210</v>
      </c>
      <c r="D352" s="24">
        <v>20</v>
      </c>
      <c r="E352" s="25">
        <v>80</v>
      </c>
      <c r="F352" s="29">
        <v>20</v>
      </c>
      <c r="G352" s="29">
        <v>1.031</v>
      </c>
      <c r="H352" s="27">
        <f t="shared" si="155"/>
        <v>17.938</v>
      </c>
      <c r="I352" s="27">
        <f t="shared" si="156"/>
        <v>61.44025004836913</v>
      </c>
      <c r="J352" s="26">
        <f t="shared" si="157"/>
        <v>252.7190153106102</v>
      </c>
      <c r="K352" s="28">
        <f t="shared" si="139"/>
        <v>208.8609690584268</v>
      </c>
      <c r="L352" s="60">
        <f t="shared" si="152"/>
        <v>109.57939805755018</v>
      </c>
      <c r="M352" s="104">
        <f t="shared" si="153"/>
        <v>318.440367115977</v>
      </c>
      <c r="N352" s="27">
        <f t="shared" si="130"/>
        <v>2771.6151608270297</v>
      </c>
      <c r="O352" s="81">
        <f t="shared" si="131"/>
        <v>277.161516082703</v>
      </c>
      <c r="P352" s="81">
        <f t="shared" si="138"/>
        <v>6.716452951521361</v>
      </c>
    </row>
    <row r="353" spans="2:16" ht="11.25">
      <c r="B353" s="15">
        <v>11</v>
      </c>
      <c r="C353" s="23">
        <f t="shared" si="154"/>
        <v>2211</v>
      </c>
      <c r="D353" s="24">
        <v>20</v>
      </c>
      <c r="E353" s="25">
        <v>100</v>
      </c>
      <c r="F353" s="29">
        <v>20</v>
      </c>
      <c r="G353" s="29">
        <v>1.281</v>
      </c>
      <c r="H353" s="27">
        <f t="shared" si="155"/>
        <v>17.438</v>
      </c>
      <c r="I353" s="27">
        <f t="shared" si="156"/>
        <v>75.33237276254319</v>
      </c>
      <c r="J353" s="26">
        <f t="shared" si="157"/>
        <v>238.82689259643612</v>
      </c>
      <c r="K353" s="28">
        <f t="shared" si="139"/>
        <v>256.08607328695354</v>
      </c>
      <c r="L353" s="60">
        <f t="shared" si="152"/>
        <v>103.55574984536554</v>
      </c>
      <c r="M353" s="104">
        <f t="shared" si="153"/>
        <v>359.6418231323191</v>
      </c>
      <c r="N353" s="27">
        <f t="shared" si="130"/>
        <v>3315.019162018269</v>
      </c>
      <c r="O353" s="81">
        <f t="shared" si="131"/>
        <v>331.50191620182693</v>
      </c>
      <c r="P353" s="81">
        <f t="shared" si="138"/>
        <v>6.6336445676566065</v>
      </c>
    </row>
    <row r="354" spans="2:16" ht="11.25">
      <c r="B354" s="15">
        <v>12</v>
      </c>
      <c r="C354" s="23">
        <f t="shared" si="154"/>
        <v>2212</v>
      </c>
      <c r="D354" s="24">
        <v>20</v>
      </c>
      <c r="E354" s="25">
        <v>120</v>
      </c>
      <c r="F354" s="29">
        <v>20</v>
      </c>
      <c r="G354" s="29">
        <v>1.5</v>
      </c>
      <c r="H354" s="27">
        <f t="shared" si="155"/>
        <v>17</v>
      </c>
      <c r="I354" s="27">
        <f t="shared" si="156"/>
        <v>87.17919613711676</v>
      </c>
      <c r="J354" s="26">
        <f t="shared" si="157"/>
        <v>226.98006922186255</v>
      </c>
      <c r="K354" s="28">
        <f t="shared" si="139"/>
        <v>296.3583542156529</v>
      </c>
      <c r="L354" s="60">
        <f t="shared" si="152"/>
        <v>98.41894693132942</v>
      </c>
      <c r="M354" s="104">
        <f t="shared" si="153"/>
        <v>394.7773011469823</v>
      </c>
      <c r="N354" s="27">
        <f t="shared" si="130"/>
        <v>3754.1541336545906</v>
      </c>
      <c r="O354" s="81">
        <f t="shared" si="131"/>
        <v>375.4154133654591</v>
      </c>
      <c r="P354" s="81">
        <f t="shared" si="138"/>
        <v>6.562202374203344</v>
      </c>
    </row>
    <row r="355" spans="2:16" ht="11.25">
      <c r="B355" s="15">
        <v>13</v>
      </c>
      <c r="C355" s="23">
        <f t="shared" si="154"/>
        <v>2213</v>
      </c>
      <c r="D355" s="24">
        <v>20</v>
      </c>
      <c r="E355" s="25">
        <v>140</v>
      </c>
      <c r="F355" s="29">
        <v>20</v>
      </c>
      <c r="G355" s="29">
        <v>1.75</v>
      </c>
      <c r="H355" s="27">
        <f t="shared" si="155"/>
        <v>16.5</v>
      </c>
      <c r="I355" s="27">
        <f t="shared" si="156"/>
        <v>100.33461537402401</v>
      </c>
      <c r="J355" s="26">
        <f t="shared" si="157"/>
        <v>213.8246499849553</v>
      </c>
      <c r="K355" s="28">
        <f t="shared" si="139"/>
        <v>341.0790968563032</v>
      </c>
      <c r="L355" s="60">
        <f t="shared" si="152"/>
        <v>92.7147346091849</v>
      </c>
      <c r="M355" s="104">
        <f t="shared" si="153"/>
        <v>433.7938314654881</v>
      </c>
      <c r="N355" s="27">
        <f t="shared" si="130"/>
        <v>4215.621574074228</v>
      </c>
      <c r="O355" s="81">
        <f t="shared" si="131"/>
        <v>421.56215740742283</v>
      </c>
      <c r="P355" s="81">
        <f t="shared" si="138"/>
        <v>6.481946081232087</v>
      </c>
    </row>
    <row r="356" spans="2:16" ht="11.25">
      <c r="B356" s="15">
        <v>14</v>
      </c>
      <c r="C356" s="23">
        <f t="shared" si="154"/>
        <v>2214</v>
      </c>
      <c r="D356" s="24">
        <v>20</v>
      </c>
      <c r="E356" s="25">
        <v>160</v>
      </c>
      <c r="F356" s="29">
        <v>20</v>
      </c>
      <c r="G356" s="29">
        <v>1.968</v>
      </c>
      <c r="H356" s="27">
        <f t="shared" si="155"/>
        <v>16.064</v>
      </c>
      <c r="I356" s="27">
        <f t="shared" si="156"/>
        <v>111.4856230997173</v>
      </c>
      <c r="J356" s="26">
        <f t="shared" si="157"/>
        <v>202.673642259262</v>
      </c>
      <c r="K356" s="28">
        <f t="shared" si="139"/>
        <v>378.9860109351486</v>
      </c>
      <c r="L356" s="60">
        <f t="shared" si="152"/>
        <v>87.8796385527416</v>
      </c>
      <c r="M356" s="104">
        <f t="shared" si="153"/>
        <v>466.8656494878902</v>
      </c>
      <c r="N356" s="27">
        <f t="shared" si="130"/>
        <v>4585.2092471646865</v>
      </c>
      <c r="O356" s="81">
        <f t="shared" si="131"/>
        <v>458.52092471646864</v>
      </c>
      <c r="P356" s="81">
        <f t="shared" si="138"/>
        <v>6.4131315283564865</v>
      </c>
    </row>
    <row r="357" spans="2:16" ht="11.25" hidden="1">
      <c r="B357" s="15">
        <v>15</v>
      </c>
      <c r="C357" s="23">
        <f t="shared" si="154"/>
        <v>2215</v>
      </c>
      <c r="D357" s="24"/>
      <c r="E357" s="25"/>
      <c r="F357" s="29"/>
      <c r="G357" s="29"/>
      <c r="H357" s="27"/>
      <c r="I357" s="27"/>
      <c r="J357" s="26"/>
      <c r="K357" s="28"/>
      <c r="L357" s="79"/>
      <c r="M357" s="60"/>
      <c r="N357" s="81"/>
      <c r="O357" s="81"/>
      <c r="P357" s="81"/>
    </row>
    <row r="358" spans="2:16" ht="11.25" hidden="1">
      <c r="B358" s="15">
        <v>16</v>
      </c>
      <c r="C358" s="23">
        <f t="shared" si="154"/>
        <v>2216</v>
      </c>
      <c r="D358" s="24"/>
      <c r="E358" s="25"/>
      <c r="F358" s="29"/>
      <c r="G358" s="29"/>
      <c r="H358" s="27"/>
      <c r="I358" s="27"/>
      <c r="J358" s="26"/>
      <c r="K358" s="28"/>
      <c r="L358" s="79"/>
      <c r="M358" s="60"/>
      <c r="N358" s="81"/>
      <c r="O358" s="81"/>
      <c r="P358" s="81"/>
    </row>
    <row r="359" spans="1:16" ht="11.25">
      <c r="A359" s="23">
        <v>23</v>
      </c>
      <c r="B359" s="15">
        <v>1</v>
      </c>
      <c r="C359" s="23">
        <f>$A$359*100+B359</f>
        <v>2301</v>
      </c>
      <c r="D359" s="24">
        <v>24</v>
      </c>
      <c r="E359" s="25" t="s">
        <v>10</v>
      </c>
      <c r="F359" s="29">
        <v>24</v>
      </c>
      <c r="G359" s="29">
        <v>0.218</v>
      </c>
      <c r="H359" s="27">
        <f t="shared" si="155"/>
        <v>23.564</v>
      </c>
      <c r="I359" s="27">
        <f t="shared" si="156"/>
        <v>16.28751171431256</v>
      </c>
      <c r="J359" s="26">
        <f t="shared" si="157"/>
        <v>436.1018304026176</v>
      </c>
      <c r="K359" s="28">
        <f t="shared" si="139"/>
        <v>55.36802792182155</v>
      </c>
      <c r="L359" s="60">
        <f aca="true" t="shared" si="158" ref="L359:L372">$J359*0.254^3*2.205*12</f>
        <v>189.09450089689528</v>
      </c>
      <c r="M359" s="104">
        <f aca="true" t="shared" si="159" ref="M359:M372">K359+L359</f>
        <v>244.46252881871683</v>
      </c>
      <c r="N359" s="27">
        <f t="shared" si="130"/>
        <v>1151.5902900348606</v>
      </c>
      <c r="O359" s="81">
        <f t="shared" si="131"/>
        <v>95.96585750290505</v>
      </c>
      <c r="P359" s="81">
        <f t="shared" si="138"/>
        <v>8.408559983730862</v>
      </c>
    </row>
    <row r="360" spans="2:16" ht="11.25">
      <c r="B360" s="15">
        <v>2</v>
      </c>
      <c r="C360" s="23">
        <f aca="true" t="shared" si="160" ref="C360:C374">$A$359*100+B360</f>
        <v>2302</v>
      </c>
      <c r="D360" s="24">
        <v>24</v>
      </c>
      <c r="E360" s="25" t="s">
        <v>11</v>
      </c>
      <c r="F360" s="29">
        <v>24</v>
      </c>
      <c r="G360" s="29">
        <v>0.25</v>
      </c>
      <c r="H360" s="27">
        <f t="shared" si="155"/>
        <v>23.5</v>
      </c>
      <c r="I360" s="27">
        <f t="shared" si="156"/>
        <v>18.653206380689397</v>
      </c>
      <c r="J360" s="26">
        <f t="shared" si="157"/>
        <v>433.73613573624084</v>
      </c>
      <c r="K360" s="28">
        <f t="shared" si="139"/>
        <v>63.41000822181763</v>
      </c>
      <c r="L360" s="60">
        <f t="shared" si="158"/>
        <v>188.06873163607844</v>
      </c>
      <c r="M360" s="104">
        <f t="shared" si="159"/>
        <v>251.47873985789607</v>
      </c>
      <c r="N360" s="27">
        <f t="shared" si="130"/>
        <v>1315.3425061883008</v>
      </c>
      <c r="O360" s="81">
        <f t="shared" si="131"/>
        <v>109.61187551569174</v>
      </c>
      <c r="P360" s="81">
        <f t="shared" si="138"/>
        <v>8.397358215534217</v>
      </c>
    </row>
    <row r="361" spans="2:16" ht="11.25">
      <c r="B361" s="15">
        <v>3</v>
      </c>
      <c r="C361" s="23">
        <f t="shared" si="160"/>
        <v>2303</v>
      </c>
      <c r="D361" s="24">
        <v>24</v>
      </c>
      <c r="E361" s="25">
        <v>10</v>
      </c>
      <c r="F361" s="29">
        <v>24</v>
      </c>
      <c r="G361" s="29">
        <v>0.25</v>
      </c>
      <c r="H361" s="27">
        <f>F361-2*G361</f>
        <v>23.5</v>
      </c>
      <c r="I361" s="27">
        <f>PI()*(F361^2-H361^2)/4</f>
        <v>18.653206380689397</v>
      </c>
      <c r="J361" s="26">
        <f>PI()*H361^2/4</f>
        <v>433.73613573624084</v>
      </c>
      <c r="K361" s="28">
        <f t="shared" si="139"/>
        <v>63.41000822181763</v>
      </c>
      <c r="L361" s="60">
        <f t="shared" si="158"/>
        <v>188.06873163607844</v>
      </c>
      <c r="M361" s="104">
        <f t="shared" si="159"/>
        <v>251.47873985789607</v>
      </c>
      <c r="N361" s="27">
        <f t="shared" si="130"/>
        <v>1315.3425061883008</v>
      </c>
      <c r="O361" s="81">
        <f t="shared" si="131"/>
        <v>109.61187551569174</v>
      </c>
      <c r="P361" s="81">
        <f t="shared" si="138"/>
        <v>8.397358215534217</v>
      </c>
    </row>
    <row r="362" spans="2:16" ht="11.25">
      <c r="B362" s="15">
        <v>4</v>
      </c>
      <c r="C362" s="23">
        <f t="shared" si="160"/>
        <v>2304</v>
      </c>
      <c r="D362" s="24">
        <v>24</v>
      </c>
      <c r="E362" s="25">
        <v>20</v>
      </c>
      <c r="F362" s="29">
        <v>24</v>
      </c>
      <c r="G362" s="29">
        <v>0.375</v>
      </c>
      <c r="H362" s="27">
        <f aca="true" t="shared" si="161" ref="H362:H372">F362-2*G362</f>
        <v>23.25</v>
      </c>
      <c r="I362" s="27">
        <f aca="true" t="shared" si="162" ref="I362:I372">PI()*(F362^2-H362^2)/4</f>
        <v>27.832547415397073</v>
      </c>
      <c r="J362" s="26">
        <f aca="true" t="shared" si="163" ref="J362:J372">PI()*H362^2/4</f>
        <v>424.55679470153314</v>
      </c>
      <c r="K362" s="28">
        <f t="shared" si="139"/>
        <v>94.61440700465945</v>
      </c>
      <c r="L362" s="60">
        <f t="shared" si="158"/>
        <v>184.08855363517907</v>
      </c>
      <c r="M362" s="104">
        <f t="shared" si="159"/>
        <v>278.7029606398385</v>
      </c>
      <c r="N362" s="27">
        <f t="shared" si="130"/>
        <v>1942.2986702190185</v>
      </c>
      <c r="O362" s="81">
        <f t="shared" si="131"/>
        <v>161.85822251825155</v>
      </c>
      <c r="P362" s="81">
        <f t="shared" si="138"/>
        <v>8.35375102872955</v>
      </c>
    </row>
    <row r="363" spans="2:16" ht="11.25">
      <c r="B363" s="15">
        <v>5</v>
      </c>
      <c r="C363" s="23">
        <f t="shared" si="160"/>
        <v>2305</v>
      </c>
      <c r="D363" s="24">
        <v>24</v>
      </c>
      <c r="E363" s="25" t="s">
        <v>0</v>
      </c>
      <c r="F363" s="29">
        <v>24</v>
      </c>
      <c r="G363" s="29">
        <v>0.375</v>
      </c>
      <c r="H363" s="27">
        <f t="shared" si="161"/>
        <v>23.25</v>
      </c>
      <c r="I363" s="27">
        <f t="shared" si="162"/>
        <v>27.832547415397073</v>
      </c>
      <c r="J363" s="26">
        <f t="shared" si="163"/>
        <v>424.55679470153314</v>
      </c>
      <c r="K363" s="28">
        <f t="shared" si="139"/>
        <v>94.61440700465945</v>
      </c>
      <c r="L363" s="60">
        <f t="shared" si="158"/>
        <v>184.08855363517907</v>
      </c>
      <c r="M363" s="104">
        <f t="shared" si="159"/>
        <v>278.7029606398385</v>
      </c>
      <c r="N363" s="27">
        <f aca="true" t="shared" si="164" ref="N363:N372">PI()*(($F363)^4-($H363)^4)/64</f>
        <v>1942.2986702190185</v>
      </c>
      <c r="O363" s="81">
        <f aca="true" t="shared" si="165" ref="O363:O372">PI()*(($F363)^4-($H363)^4)/(32*($F363))</f>
        <v>161.85822251825155</v>
      </c>
      <c r="P363" s="81">
        <f t="shared" si="138"/>
        <v>8.35375102872955</v>
      </c>
    </row>
    <row r="364" spans="2:16" ht="11.25">
      <c r="B364" s="15">
        <v>6</v>
      </c>
      <c r="C364" s="23">
        <f t="shared" si="160"/>
        <v>2306</v>
      </c>
      <c r="D364" s="24">
        <v>24</v>
      </c>
      <c r="E364" s="25" t="s">
        <v>1</v>
      </c>
      <c r="F364" s="29">
        <v>24</v>
      </c>
      <c r="G364" s="29">
        <v>0.5</v>
      </c>
      <c r="H364" s="27">
        <f t="shared" si="161"/>
        <v>23</v>
      </c>
      <c r="I364" s="27">
        <f t="shared" si="162"/>
        <v>36.91371367968007</v>
      </c>
      <c r="J364" s="26">
        <f t="shared" si="163"/>
        <v>415.4756284372501</v>
      </c>
      <c r="K364" s="28">
        <f t="shared" si="139"/>
        <v>125.48506890212332</v>
      </c>
      <c r="L364" s="60">
        <f t="shared" si="158"/>
        <v>180.15094438295245</v>
      </c>
      <c r="M364" s="104">
        <f t="shared" si="159"/>
        <v>305.63601328507576</v>
      </c>
      <c r="N364" s="27">
        <f t="shared" si="164"/>
        <v>2549.3533510029047</v>
      </c>
      <c r="O364" s="81">
        <f t="shared" si="165"/>
        <v>212.4461125835754</v>
      </c>
      <c r="P364" s="81">
        <f t="shared" si="138"/>
        <v>8.31038506929733</v>
      </c>
    </row>
    <row r="365" spans="2:16" ht="11.25">
      <c r="B365" s="15">
        <v>7</v>
      </c>
      <c r="C365" s="23">
        <f t="shared" si="160"/>
        <v>2307</v>
      </c>
      <c r="D365" s="24">
        <v>24</v>
      </c>
      <c r="E365" s="25">
        <v>30</v>
      </c>
      <c r="F365" s="29">
        <v>24</v>
      </c>
      <c r="G365" s="29">
        <v>0.562</v>
      </c>
      <c r="H365" s="27">
        <f t="shared" si="161"/>
        <v>22.876</v>
      </c>
      <c r="I365" s="27">
        <f t="shared" si="162"/>
        <v>41.381548521538626</v>
      </c>
      <c r="J365" s="26">
        <f t="shared" si="163"/>
        <v>411.0077935953916</v>
      </c>
      <c r="K365" s="28">
        <f t="shared" si="139"/>
        <v>140.67309814889475</v>
      </c>
      <c r="L365" s="60">
        <f t="shared" si="158"/>
        <v>178.21368354015567</v>
      </c>
      <c r="M365" s="104">
        <f t="shared" si="159"/>
        <v>318.8867816890504</v>
      </c>
      <c r="N365" s="27">
        <f t="shared" si="164"/>
        <v>2843.2004403889637</v>
      </c>
      <c r="O365" s="81">
        <f t="shared" si="165"/>
        <v>236.93337003241365</v>
      </c>
      <c r="P365" s="81">
        <f t="shared" si="138"/>
        <v>8.288966220223125</v>
      </c>
    </row>
    <row r="366" spans="2:16" ht="11.25">
      <c r="B366" s="15">
        <v>8</v>
      </c>
      <c r="C366" s="23">
        <f t="shared" si="160"/>
        <v>2308</v>
      </c>
      <c r="D366" s="24">
        <v>24</v>
      </c>
      <c r="E366" s="25">
        <v>40</v>
      </c>
      <c r="F366" s="29">
        <v>24</v>
      </c>
      <c r="G366" s="29">
        <v>0.687</v>
      </c>
      <c r="H366" s="27">
        <f t="shared" si="161"/>
        <v>22.626</v>
      </c>
      <c r="I366" s="27">
        <f t="shared" si="162"/>
        <v>50.31584532926634</v>
      </c>
      <c r="J366" s="26">
        <f t="shared" si="163"/>
        <v>402.0734967876639</v>
      </c>
      <c r="K366" s="28">
        <f t="shared" si="139"/>
        <v>171.04448966583325</v>
      </c>
      <c r="L366" s="60">
        <f t="shared" si="158"/>
        <v>174.3397571359434</v>
      </c>
      <c r="M366" s="104">
        <f t="shared" si="159"/>
        <v>345.3842468017766</v>
      </c>
      <c r="N366" s="27">
        <f t="shared" si="164"/>
        <v>3421.2758290609936</v>
      </c>
      <c r="O366" s="81">
        <f t="shared" si="165"/>
        <v>285.1063190884161</v>
      </c>
      <c r="P366" s="81">
        <f t="shared" si="138"/>
        <v>8.245968242116872</v>
      </c>
    </row>
    <row r="367" spans="2:16" ht="11.25">
      <c r="B367" s="15">
        <v>9</v>
      </c>
      <c r="C367" s="23">
        <f t="shared" si="160"/>
        <v>2309</v>
      </c>
      <c r="D367" s="24">
        <v>24</v>
      </c>
      <c r="E367" s="25">
        <v>60</v>
      </c>
      <c r="F367" s="29">
        <v>24</v>
      </c>
      <c r="G367" s="29">
        <v>0.968</v>
      </c>
      <c r="H367" s="27">
        <f t="shared" si="161"/>
        <v>22.064</v>
      </c>
      <c r="I367" s="27">
        <f t="shared" si="162"/>
        <v>70.04173281356077</v>
      </c>
      <c r="J367" s="26">
        <f t="shared" si="163"/>
        <v>382.34760930336944</v>
      </c>
      <c r="K367" s="28">
        <f t="shared" si="139"/>
        <v>238.1009871941435</v>
      </c>
      <c r="L367" s="60">
        <f t="shared" si="158"/>
        <v>165.78657852362866</v>
      </c>
      <c r="M367" s="104">
        <f t="shared" si="159"/>
        <v>403.8875657177722</v>
      </c>
      <c r="N367" s="27">
        <f t="shared" si="164"/>
        <v>4652.6100745571875</v>
      </c>
      <c r="O367" s="81">
        <f t="shared" si="165"/>
        <v>387.71750621309894</v>
      </c>
      <c r="P367" s="81">
        <f t="shared" si="138"/>
        <v>8.150230426190415</v>
      </c>
    </row>
    <row r="368" spans="2:16" ht="11.25">
      <c r="B368" s="15">
        <v>10</v>
      </c>
      <c r="C368" s="23">
        <f t="shared" si="160"/>
        <v>2310</v>
      </c>
      <c r="D368" s="24">
        <v>24</v>
      </c>
      <c r="E368" s="25">
        <v>80</v>
      </c>
      <c r="F368" s="29">
        <v>24</v>
      </c>
      <c r="G368" s="29">
        <v>1.218</v>
      </c>
      <c r="H368" s="27">
        <f t="shared" si="161"/>
        <v>21.564</v>
      </c>
      <c r="I368" s="27">
        <f t="shared" si="162"/>
        <v>87.17440834991268</v>
      </c>
      <c r="J368" s="26">
        <f t="shared" si="163"/>
        <v>365.21493376701756</v>
      </c>
      <c r="K368" s="28">
        <f t="shared" si="139"/>
        <v>296.3420785352268</v>
      </c>
      <c r="L368" s="60">
        <f t="shared" si="158"/>
        <v>158.35782105525493</v>
      </c>
      <c r="M368" s="104">
        <f t="shared" si="159"/>
        <v>454.6998995904817</v>
      </c>
      <c r="N368" s="27">
        <f t="shared" si="164"/>
        <v>5671.818156715775</v>
      </c>
      <c r="O368" s="81">
        <f t="shared" si="165"/>
        <v>472.6515130596479</v>
      </c>
      <c r="P368" s="81">
        <f t="shared" si="138"/>
        <v>8.066156519681478</v>
      </c>
    </row>
    <row r="369" spans="2:16" ht="11.25">
      <c r="B369" s="15">
        <v>11</v>
      </c>
      <c r="C369" s="23">
        <f t="shared" si="160"/>
        <v>2311</v>
      </c>
      <c r="D369" s="24">
        <v>24</v>
      </c>
      <c r="E369" s="25">
        <v>100</v>
      </c>
      <c r="F369" s="29">
        <v>24</v>
      </c>
      <c r="G369" s="29">
        <v>1.531</v>
      </c>
      <c r="H369" s="27">
        <f t="shared" si="161"/>
        <v>20.938</v>
      </c>
      <c r="I369" s="27">
        <f t="shared" si="162"/>
        <v>108.0709098056024</v>
      </c>
      <c r="J369" s="26">
        <f t="shared" si="163"/>
        <v>344.3184323113278</v>
      </c>
      <c r="K369" s="28">
        <f t="shared" si="139"/>
        <v>367.3779799277217</v>
      </c>
      <c r="L369" s="60">
        <f t="shared" si="158"/>
        <v>149.2970622191664</v>
      </c>
      <c r="M369" s="104">
        <f t="shared" si="159"/>
        <v>516.6750421468881</v>
      </c>
      <c r="N369" s="27">
        <f t="shared" si="164"/>
        <v>6851.69462798382</v>
      </c>
      <c r="O369" s="81">
        <f t="shared" si="165"/>
        <v>570.974552331985</v>
      </c>
      <c r="P369" s="81">
        <f t="shared" si="138"/>
        <v>7.962411082706041</v>
      </c>
    </row>
    <row r="370" spans="2:16" ht="11.25">
      <c r="B370" s="15">
        <v>12</v>
      </c>
      <c r="C370" s="23">
        <f t="shared" si="160"/>
        <v>2312</v>
      </c>
      <c r="D370" s="24">
        <v>24</v>
      </c>
      <c r="E370" s="25">
        <v>120</v>
      </c>
      <c r="F370" s="29">
        <v>24</v>
      </c>
      <c r="G370" s="29">
        <v>1.812</v>
      </c>
      <c r="H370" s="27">
        <f t="shared" si="161"/>
        <v>20.376</v>
      </c>
      <c r="I370" s="27">
        <f t="shared" si="162"/>
        <v>126.30665192970476</v>
      </c>
      <c r="J370" s="26">
        <f t="shared" si="163"/>
        <v>326.08269018722547</v>
      </c>
      <c r="K370" s="28">
        <f t="shared" si="139"/>
        <v>429.36885347626924</v>
      </c>
      <c r="L370" s="60">
        <f t="shared" si="158"/>
        <v>141.39001318830566</v>
      </c>
      <c r="M370" s="104">
        <f t="shared" si="159"/>
        <v>570.758866664575</v>
      </c>
      <c r="N370" s="27">
        <f t="shared" si="164"/>
        <v>7824.550066102364</v>
      </c>
      <c r="O370" s="81">
        <f t="shared" si="165"/>
        <v>652.0458388418637</v>
      </c>
      <c r="P370" s="81">
        <f t="shared" si="138"/>
        <v>7.870758286213597</v>
      </c>
    </row>
    <row r="371" spans="2:16" ht="11.25">
      <c r="B371" s="15">
        <v>13</v>
      </c>
      <c r="C371" s="23">
        <f t="shared" si="160"/>
        <v>2313</v>
      </c>
      <c r="D371" s="24">
        <v>24</v>
      </c>
      <c r="E371" s="25">
        <v>140</v>
      </c>
      <c r="F371" s="29">
        <v>24</v>
      </c>
      <c r="G371" s="29">
        <v>2.062</v>
      </c>
      <c r="H371" s="27">
        <f t="shared" si="161"/>
        <v>19.876</v>
      </c>
      <c r="I371" s="27">
        <f t="shared" si="162"/>
        <v>142.11357536624183</v>
      </c>
      <c r="J371" s="26">
        <f t="shared" si="163"/>
        <v>310.2757667506884</v>
      </c>
      <c r="K371" s="28">
        <f t="shared" si="139"/>
        <v>483.10316191720835</v>
      </c>
      <c r="L371" s="60">
        <f t="shared" si="158"/>
        <v>134.53610410200827</v>
      </c>
      <c r="M371" s="104">
        <f t="shared" si="159"/>
        <v>617.6392660192166</v>
      </c>
      <c r="N371" s="27">
        <f t="shared" si="164"/>
        <v>8625.009460123143</v>
      </c>
      <c r="O371" s="81">
        <f t="shared" si="165"/>
        <v>718.7507883435952</v>
      </c>
      <c r="P371" s="81">
        <f t="shared" si="138"/>
        <v>7.790440359825624</v>
      </c>
    </row>
    <row r="372" spans="2:16" ht="11.25">
      <c r="B372" s="15">
        <v>14</v>
      </c>
      <c r="C372" s="23">
        <f t="shared" si="160"/>
        <v>2314</v>
      </c>
      <c r="D372" s="24">
        <v>24</v>
      </c>
      <c r="E372" s="25">
        <v>160</v>
      </c>
      <c r="F372" s="29">
        <v>24</v>
      </c>
      <c r="G372" s="29">
        <v>2.343</v>
      </c>
      <c r="H372" s="27">
        <f t="shared" si="161"/>
        <v>19.314</v>
      </c>
      <c r="I372" s="27">
        <f t="shared" si="162"/>
        <v>159.4117971274747</v>
      </c>
      <c r="J372" s="26">
        <f t="shared" si="163"/>
        <v>292.9775449894555</v>
      </c>
      <c r="K372" s="28">
        <f t="shared" si="139"/>
        <v>541.9070137438915</v>
      </c>
      <c r="L372" s="60">
        <f t="shared" si="158"/>
        <v>127.0355655068726</v>
      </c>
      <c r="M372" s="104">
        <f t="shared" si="159"/>
        <v>668.9425792507641</v>
      </c>
      <c r="N372" s="27">
        <f t="shared" si="164"/>
        <v>9455.4170523324</v>
      </c>
      <c r="O372" s="81">
        <f t="shared" si="165"/>
        <v>787.9514210276999</v>
      </c>
      <c r="P372" s="81">
        <f>SQRT(N372/I372)</f>
        <v>7.701585047897607</v>
      </c>
    </row>
    <row r="373" spans="2:16" ht="11.25" hidden="1">
      <c r="B373" s="15">
        <v>15</v>
      </c>
      <c r="C373" s="23">
        <f t="shared" si="160"/>
        <v>2315</v>
      </c>
      <c r="D373" s="24"/>
      <c r="E373" s="25"/>
      <c r="F373" s="29"/>
      <c r="G373" s="29"/>
      <c r="H373" s="27"/>
      <c r="I373" s="27"/>
      <c r="J373" s="26"/>
      <c r="K373" s="28"/>
      <c r="L373" s="79"/>
      <c r="M373" s="60"/>
      <c r="N373" s="81"/>
      <c r="O373" s="81"/>
      <c r="P373" s="81"/>
    </row>
    <row r="374" spans="2:16" ht="11.25" hidden="1">
      <c r="B374" s="15">
        <v>16</v>
      </c>
      <c r="C374" s="23">
        <f t="shared" si="160"/>
        <v>2316</v>
      </c>
      <c r="D374" s="24"/>
      <c r="E374" s="25"/>
      <c r="F374" s="29"/>
      <c r="G374" s="29"/>
      <c r="H374" s="27"/>
      <c r="I374" s="27"/>
      <c r="J374" s="26"/>
      <c r="K374" s="28"/>
      <c r="L374" s="79"/>
      <c r="M374" s="60"/>
      <c r="N374" s="81"/>
      <c r="O374" s="81"/>
      <c r="P374" s="81"/>
    </row>
    <row r="375" spans="1:16" ht="11.25">
      <c r="A375" s="23">
        <v>24</v>
      </c>
      <c r="B375" s="15">
        <v>1</v>
      </c>
      <c r="C375" s="23">
        <f>$A$375*100+B375</f>
        <v>2401</v>
      </c>
      <c r="D375" s="24">
        <v>26</v>
      </c>
      <c r="E375" s="25" t="s">
        <v>0</v>
      </c>
      <c r="F375" s="29">
        <v>26</v>
      </c>
      <c r="G375" s="29">
        <v>0.375</v>
      </c>
      <c r="H375" s="27">
        <f>F375-2*G375</f>
        <v>25.25</v>
      </c>
      <c r="I375" s="27">
        <f>PI()*(F375^2-H375^2)/4</f>
        <v>30.188741905589417</v>
      </c>
      <c r="J375" s="26">
        <f>PI()*H375^2/4</f>
        <v>500.7404165510856</v>
      </c>
      <c r="K375" s="28">
        <f>I375*3.399416</f>
        <v>102.62409225373115</v>
      </c>
      <c r="L375" s="60">
        <f>$J375*0.254^3*2.205*12</f>
        <v>217.12190260521007</v>
      </c>
      <c r="M375" s="104">
        <f>K375+L375</f>
        <v>319.74599485894123</v>
      </c>
      <c r="N375" s="27">
        <f>PI()*(($F375)^4-($H375)^4)/64</f>
        <v>2478.42495558505</v>
      </c>
      <c r="O375" s="81">
        <f>PI()*(($F375)^4-($H375)^4)/(32*($F375))</f>
        <v>190.64807350654232</v>
      </c>
      <c r="P375" s="81">
        <f>SQRT(N375/I375)</f>
        <v>9.060775698029392</v>
      </c>
    </row>
    <row r="376" spans="2:16" ht="11.25">
      <c r="B376" s="15">
        <v>2</v>
      </c>
      <c r="C376" s="23">
        <f aca="true" t="shared" si="166" ref="C376:C390">$A$375*100+B376</f>
        <v>2402</v>
      </c>
      <c r="D376" s="24">
        <v>26</v>
      </c>
      <c r="E376" s="25" t="s">
        <v>1</v>
      </c>
      <c r="F376" s="29">
        <v>26</v>
      </c>
      <c r="G376" s="29">
        <v>0.5</v>
      </c>
      <c r="H376" s="27">
        <f>F376-2*G376</f>
        <v>25</v>
      </c>
      <c r="I376" s="27">
        <f>PI()*(F376^2-H376^2)/4</f>
        <v>40.05530633326986</v>
      </c>
      <c r="J376" s="26">
        <f>PI()*H376^2/4</f>
        <v>490.8738521234052</v>
      </c>
      <c r="K376" s="28">
        <f>I376*3.399416</f>
        <v>136.1646492342189</v>
      </c>
      <c r="L376" s="60">
        <f>$J376*0.254^3*2.205*12</f>
        <v>212.8437433636017</v>
      </c>
      <c r="M376" s="104">
        <f>K376+L376</f>
        <v>349.0083925978206</v>
      </c>
      <c r="N376" s="27">
        <f>PI()*(($F376)^4-($H376)^4)/64</f>
        <v>3256.997096224006</v>
      </c>
      <c r="O376" s="81">
        <f>PI()*(($F376)^4-($H376)^4)/(32*($F376))</f>
        <v>250.53823817107738</v>
      </c>
      <c r="P376" s="81">
        <f>SQRT(N376/I376)</f>
        <v>9.017344398435716</v>
      </c>
    </row>
    <row r="377" spans="2:16" ht="11.25" hidden="1">
      <c r="B377" s="15">
        <v>3</v>
      </c>
      <c r="C377" s="23">
        <f t="shared" si="166"/>
        <v>2403</v>
      </c>
      <c r="D377" s="24"/>
      <c r="E377" s="25"/>
      <c r="F377" s="29"/>
      <c r="G377" s="29"/>
      <c r="H377" s="27"/>
      <c r="I377" s="27"/>
      <c r="J377" s="26"/>
      <c r="K377" s="28"/>
      <c r="L377" s="79"/>
      <c r="M377" s="60"/>
      <c r="N377" s="81"/>
      <c r="O377" s="81"/>
      <c r="P377" s="81"/>
    </row>
    <row r="378" spans="2:16" ht="11.25" hidden="1">
      <c r="B378" s="15">
        <v>4</v>
      </c>
      <c r="C378" s="23">
        <f t="shared" si="166"/>
        <v>2404</v>
      </c>
      <c r="D378" s="24"/>
      <c r="E378" s="25"/>
      <c r="F378" s="29"/>
      <c r="G378" s="29"/>
      <c r="H378" s="27"/>
      <c r="I378" s="27"/>
      <c r="J378" s="26"/>
      <c r="K378" s="28"/>
      <c r="L378" s="79"/>
      <c r="M378" s="60"/>
      <c r="N378" s="81"/>
      <c r="O378" s="81"/>
      <c r="P378" s="81"/>
    </row>
    <row r="379" spans="2:16" ht="11.25" hidden="1">
      <c r="B379" s="15">
        <v>5</v>
      </c>
      <c r="C379" s="23">
        <f t="shared" si="166"/>
        <v>2405</v>
      </c>
      <c r="D379" s="24"/>
      <c r="E379" s="25"/>
      <c r="F379" s="29"/>
      <c r="G379" s="29"/>
      <c r="H379" s="27"/>
      <c r="I379" s="27"/>
      <c r="J379" s="26"/>
      <c r="K379" s="28"/>
      <c r="L379" s="79"/>
      <c r="M379" s="60"/>
      <c r="N379" s="81"/>
      <c r="O379" s="81"/>
      <c r="P379" s="81"/>
    </row>
    <row r="380" spans="2:16" ht="11.25" hidden="1">
      <c r="B380" s="15">
        <v>6</v>
      </c>
      <c r="C380" s="23">
        <f t="shared" si="166"/>
        <v>2406</v>
      </c>
      <c r="D380" s="24"/>
      <c r="E380" s="25"/>
      <c r="F380" s="29"/>
      <c r="G380" s="29"/>
      <c r="H380" s="27"/>
      <c r="I380" s="27"/>
      <c r="J380" s="26"/>
      <c r="K380" s="28"/>
      <c r="L380" s="79"/>
      <c r="M380" s="60"/>
      <c r="N380" s="81"/>
      <c r="O380" s="81"/>
      <c r="P380" s="81"/>
    </row>
    <row r="381" spans="2:16" ht="11.25" hidden="1">
      <c r="B381" s="15">
        <v>7</v>
      </c>
      <c r="C381" s="23">
        <f t="shared" si="166"/>
        <v>2407</v>
      </c>
      <c r="D381" s="24"/>
      <c r="E381" s="25"/>
      <c r="F381" s="29"/>
      <c r="G381" s="29"/>
      <c r="H381" s="27"/>
      <c r="I381" s="27"/>
      <c r="J381" s="26"/>
      <c r="K381" s="28"/>
      <c r="L381" s="79"/>
      <c r="M381" s="60"/>
      <c r="N381" s="81"/>
      <c r="O381" s="81"/>
      <c r="P381" s="81"/>
    </row>
    <row r="382" spans="2:16" ht="11.25" hidden="1">
      <c r="B382" s="15">
        <v>8</v>
      </c>
      <c r="C382" s="23">
        <f t="shared" si="166"/>
        <v>2408</v>
      </c>
      <c r="D382" s="24"/>
      <c r="E382" s="25"/>
      <c r="F382" s="29"/>
      <c r="G382" s="29"/>
      <c r="H382" s="27"/>
      <c r="I382" s="27"/>
      <c r="J382" s="26"/>
      <c r="K382" s="28"/>
      <c r="L382" s="79"/>
      <c r="M382" s="60"/>
      <c r="N382" s="81"/>
      <c r="O382" s="81"/>
      <c r="P382" s="81"/>
    </row>
    <row r="383" spans="2:16" ht="11.25" hidden="1">
      <c r="B383" s="15">
        <v>9</v>
      </c>
      <c r="C383" s="23">
        <f t="shared" si="166"/>
        <v>2409</v>
      </c>
      <c r="D383" s="24"/>
      <c r="E383" s="25"/>
      <c r="F383" s="29"/>
      <c r="G383" s="29"/>
      <c r="H383" s="27"/>
      <c r="I383" s="27"/>
      <c r="J383" s="26"/>
      <c r="K383" s="28"/>
      <c r="L383" s="79"/>
      <c r="M383" s="60"/>
      <c r="N383" s="81"/>
      <c r="O383" s="81"/>
      <c r="P383" s="81"/>
    </row>
    <row r="384" spans="2:16" ht="11.25" hidden="1">
      <c r="B384" s="15">
        <v>10</v>
      </c>
      <c r="C384" s="23">
        <f t="shared" si="166"/>
        <v>2410</v>
      </c>
      <c r="D384" s="24"/>
      <c r="E384" s="25"/>
      <c r="F384" s="29"/>
      <c r="G384" s="29"/>
      <c r="H384" s="27"/>
      <c r="I384" s="27"/>
      <c r="J384" s="26"/>
      <c r="K384" s="28"/>
      <c r="L384" s="79"/>
      <c r="M384" s="60"/>
      <c r="N384" s="81"/>
      <c r="O384" s="81"/>
      <c r="P384" s="81"/>
    </row>
    <row r="385" spans="2:16" ht="11.25" hidden="1">
      <c r="B385" s="15">
        <v>11</v>
      </c>
      <c r="C385" s="23">
        <f t="shared" si="166"/>
        <v>2411</v>
      </c>
      <c r="D385" s="24"/>
      <c r="E385" s="25"/>
      <c r="F385" s="29"/>
      <c r="G385" s="29"/>
      <c r="H385" s="27"/>
      <c r="I385" s="27"/>
      <c r="J385" s="26"/>
      <c r="K385" s="28"/>
      <c r="L385" s="79"/>
      <c r="M385" s="60"/>
      <c r="N385" s="81"/>
      <c r="O385" s="81"/>
      <c r="P385" s="81"/>
    </row>
    <row r="386" spans="2:16" ht="11.25" hidden="1">
      <c r="B386" s="15">
        <v>12</v>
      </c>
      <c r="C386" s="23">
        <f t="shared" si="166"/>
        <v>2412</v>
      </c>
      <c r="D386" s="24"/>
      <c r="E386" s="25"/>
      <c r="F386" s="29"/>
      <c r="G386" s="29"/>
      <c r="H386" s="27"/>
      <c r="I386" s="27"/>
      <c r="J386" s="26"/>
      <c r="K386" s="28"/>
      <c r="L386" s="79"/>
      <c r="M386" s="60"/>
      <c r="N386" s="81"/>
      <c r="O386" s="81"/>
      <c r="P386" s="81"/>
    </row>
    <row r="387" spans="2:16" ht="11.25" hidden="1">
      <c r="B387" s="15">
        <v>13</v>
      </c>
      <c r="C387" s="23">
        <f t="shared" si="166"/>
        <v>2413</v>
      </c>
      <c r="D387" s="24"/>
      <c r="E387" s="25"/>
      <c r="F387" s="29"/>
      <c r="G387" s="29"/>
      <c r="H387" s="27"/>
      <c r="I387" s="27"/>
      <c r="J387" s="26"/>
      <c r="K387" s="28"/>
      <c r="L387" s="79"/>
      <c r="M387" s="60"/>
      <c r="N387" s="81"/>
      <c r="O387" s="81"/>
      <c r="P387" s="81"/>
    </row>
    <row r="388" spans="2:16" ht="11.25" hidden="1">
      <c r="B388" s="15">
        <v>14</v>
      </c>
      <c r="C388" s="23">
        <f t="shared" si="166"/>
        <v>2414</v>
      </c>
      <c r="D388" s="24"/>
      <c r="E388" s="25"/>
      <c r="F388" s="29"/>
      <c r="G388" s="29"/>
      <c r="H388" s="27"/>
      <c r="I388" s="27"/>
      <c r="J388" s="26"/>
      <c r="K388" s="28"/>
      <c r="L388" s="79"/>
      <c r="M388" s="60"/>
      <c r="N388" s="81"/>
      <c r="O388" s="81"/>
      <c r="P388" s="81"/>
    </row>
    <row r="389" spans="2:16" ht="11.25" hidden="1">
      <c r="B389" s="15">
        <v>15</v>
      </c>
      <c r="C389" s="23">
        <f t="shared" si="166"/>
        <v>2415</v>
      </c>
      <c r="D389" s="24"/>
      <c r="E389" s="25"/>
      <c r="F389" s="29"/>
      <c r="G389" s="29"/>
      <c r="H389" s="27"/>
      <c r="I389" s="27"/>
      <c r="J389" s="26"/>
      <c r="K389" s="28"/>
      <c r="L389" s="79"/>
      <c r="M389" s="60"/>
      <c r="N389" s="81"/>
      <c r="O389" s="81"/>
      <c r="P389" s="81"/>
    </row>
    <row r="390" spans="2:16" ht="11.25" hidden="1">
      <c r="B390" s="15">
        <v>16</v>
      </c>
      <c r="C390" s="23">
        <f t="shared" si="166"/>
        <v>2416</v>
      </c>
      <c r="D390" s="24"/>
      <c r="E390" s="25"/>
      <c r="F390" s="29"/>
      <c r="G390" s="29"/>
      <c r="H390" s="27"/>
      <c r="I390" s="27"/>
      <c r="J390" s="26"/>
      <c r="K390" s="28"/>
      <c r="L390" s="79"/>
      <c r="M390" s="60"/>
      <c r="N390" s="81"/>
      <c r="O390" s="81"/>
      <c r="P390" s="81"/>
    </row>
    <row r="391" spans="1:16" ht="11.25">
      <c r="A391" s="23">
        <v>25</v>
      </c>
      <c r="B391" s="15">
        <v>1</v>
      </c>
      <c r="C391" s="23">
        <f>$A$391*100+B391</f>
        <v>2501</v>
      </c>
      <c r="D391" s="24">
        <v>28</v>
      </c>
      <c r="E391" s="25" t="s">
        <v>0</v>
      </c>
      <c r="F391" s="29">
        <v>28</v>
      </c>
      <c r="G391" s="29">
        <v>0.375</v>
      </c>
      <c r="H391" s="27">
        <f>F391-2*G391</f>
        <v>27.25</v>
      </c>
      <c r="I391" s="27">
        <f>PI()*(F391^2-H391^2)/4</f>
        <v>32.54493639578176</v>
      </c>
      <c r="J391" s="26">
        <f>PI()*H391^2/4</f>
        <v>583.2072237078177</v>
      </c>
      <c r="K391" s="28">
        <f>I391*3.399416</f>
        <v>110.63377750280286</v>
      </c>
      <c r="L391" s="60">
        <f>$J391*0.254^3*2.205*12</f>
        <v>252.87965149029515</v>
      </c>
      <c r="M391" s="104">
        <f>K391+L391</f>
        <v>363.513428993098</v>
      </c>
      <c r="N391" s="27">
        <f>PI()*(($F391)^4-($H391)^4)/64</f>
        <v>3105.11746666785</v>
      </c>
      <c r="O391" s="81">
        <f>PI()*(($F391)^4-($H391)^4)/(32*($F391))</f>
        <v>221.79410476198927</v>
      </c>
      <c r="P391" s="81">
        <f>SQRT(N391/I391)</f>
        <v>9.767812255054865</v>
      </c>
    </row>
    <row r="392" spans="2:16" ht="11.25">
      <c r="B392" s="15">
        <v>2</v>
      </c>
      <c r="C392" s="23">
        <f aca="true" t="shared" si="167" ref="C392:C406">$A$391*100+B392</f>
        <v>2502</v>
      </c>
      <c r="D392" s="24">
        <v>28</v>
      </c>
      <c r="E392" s="25" t="s">
        <v>1</v>
      </c>
      <c r="F392" s="29">
        <v>28</v>
      </c>
      <c r="G392" s="29">
        <v>0.5</v>
      </c>
      <c r="H392" s="27">
        <f>F392-2*G392</f>
        <v>27</v>
      </c>
      <c r="I392" s="27">
        <f>PI()*(F392^2-H392^2)/4</f>
        <v>43.19689898685966</v>
      </c>
      <c r="J392" s="26">
        <f>PI()*H392^2/4</f>
        <v>572.5552611167398</v>
      </c>
      <c r="K392" s="28">
        <f>I392*3.399416</f>
        <v>146.8442295663145</v>
      </c>
      <c r="L392" s="60">
        <f>$J392*0.254^3*2.205*12</f>
        <v>248.26094225930495</v>
      </c>
      <c r="M392" s="104">
        <f>K392+L392</f>
        <v>395.10517182561944</v>
      </c>
      <c r="N392" s="27">
        <f>PI()*(($F392)^4-($H392)^4)/64</f>
        <v>4084.806760444916</v>
      </c>
      <c r="O392" s="81">
        <f>PI()*(($F392)^4-($H392)^4)/(32*($F392))</f>
        <v>291.77191146035113</v>
      </c>
      <c r="P392" s="81">
        <f>SQRT(N392/I392)</f>
        <v>9.724325169388361</v>
      </c>
    </row>
    <row r="393" spans="2:16" ht="11.25" hidden="1">
      <c r="B393" s="15">
        <v>3</v>
      </c>
      <c r="C393" s="23">
        <f t="shared" si="167"/>
        <v>2503</v>
      </c>
      <c r="D393" s="24"/>
      <c r="E393" s="25"/>
      <c r="F393" s="29"/>
      <c r="G393" s="29"/>
      <c r="H393" s="27"/>
      <c r="I393" s="27"/>
      <c r="J393" s="26"/>
      <c r="K393" s="28"/>
      <c r="L393" s="79"/>
      <c r="M393" s="60"/>
      <c r="N393" s="81"/>
      <c r="O393" s="81"/>
      <c r="P393" s="81"/>
    </row>
    <row r="394" spans="2:16" ht="11.25" hidden="1">
      <c r="B394" s="15">
        <v>4</v>
      </c>
      <c r="C394" s="23">
        <f t="shared" si="167"/>
        <v>2504</v>
      </c>
      <c r="D394" s="24"/>
      <c r="E394" s="25"/>
      <c r="F394" s="29"/>
      <c r="G394" s="29"/>
      <c r="H394" s="27"/>
      <c r="I394" s="27"/>
      <c r="J394" s="26"/>
      <c r="K394" s="28"/>
      <c r="L394" s="79"/>
      <c r="M394" s="60"/>
      <c r="N394" s="81"/>
      <c r="O394" s="81"/>
      <c r="P394" s="81"/>
    </row>
    <row r="395" spans="2:16" ht="11.25" hidden="1">
      <c r="B395" s="15">
        <v>5</v>
      </c>
      <c r="C395" s="23">
        <f t="shared" si="167"/>
        <v>2505</v>
      </c>
      <c r="D395" s="24"/>
      <c r="E395" s="25"/>
      <c r="F395" s="29"/>
      <c r="G395" s="29"/>
      <c r="H395" s="27"/>
      <c r="I395" s="27"/>
      <c r="J395" s="26"/>
      <c r="K395" s="28"/>
      <c r="L395" s="79"/>
      <c r="M395" s="60"/>
      <c r="N395" s="81"/>
      <c r="O395" s="81"/>
      <c r="P395" s="81"/>
    </row>
    <row r="396" spans="2:16" ht="11.25" hidden="1">
      <c r="B396" s="15">
        <v>6</v>
      </c>
      <c r="C396" s="23">
        <f t="shared" si="167"/>
        <v>2506</v>
      </c>
      <c r="D396" s="24"/>
      <c r="E396" s="25"/>
      <c r="F396" s="29"/>
      <c r="G396" s="29"/>
      <c r="H396" s="27"/>
      <c r="I396" s="27"/>
      <c r="J396" s="26"/>
      <c r="K396" s="28"/>
      <c r="L396" s="79"/>
      <c r="M396" s="60"/>
      <c r="N396" s="81"/>
      <c r="O396" s="81"/>
      <c r="P396" s="81"/>
    </row>
    <row r="397" spans="2:16" ht="11.25" hidden="1">
      <c r="B397" s="15">
        <v>7</v>
      </c>
      <c r="C397" s="23">
        <f t="shared" si="167"/>
        <v>2507</v>
      </c>
      <c r="D397" s="24"/>
      <c r="E397" s="25"/>
      <c r="F397" s="29"/>
      <c r="G397" s="29"/>
      <c r="H397" s="27"/>
      <c r="I397" s="27"/>
      <c r="J397" s="26"/>
      <c r="K397" s="28"/>
      <c r="L397" s="79"/>
      <c r="M397" s="60"/>
      <c r="N397" s="81"/>
      <c r="O397" s="81"/>
      <c r="P397" s="81"/>
    </row>
    <row r="398" spans="2:16" ht="11.25" hidden="1">
      <c r="B398" s="15">
        <v>8</v>
      </c>
      <c r="C398" s="23">
        <f t="shared" si="167"/>
        <v>2508</v>
      </c>
      <c r="D398" s="24"/>
      <c r="E398" s="25"/>
      <c r="F398" s="29"/>
      <c r="G398" s="29"/>
      <c r="H398" s="27"/>
      <c r="I398" s="27"/>
      <c r="J398" s="26"/>
      <c r="K398" s="28"/>
      <c r="L398" s="79"/>
      <c r="M398" s="60"/>
      <c r="N398" s="81"/>
      <c r="O398" s="81"/>
      <c r="P398" s="81"/>
    </row>
    <row r="399" spans="2:16" ht="11.25" hidden="1">
      <c r="B399" s="15">
        <v>9</v>
      </c>
      <c r="C399" s="23">
        <f t="shared" si="167"/>
        <v>2509</v>
      </c>
      <c r="D399" s="24"/>
      <c r="E399" s="25"/>
      <c r="F399" s="29"/>
      <c r="G399" s="29"/>
      <c r="H399" s="27"/>
      <c r="I399" s="27"/>
      <c r="J399" s="26"/>
      <c r="K399" s="28"/>
      <c r="L399" s="79"/>
      <c r="M399" s="60"/>
      <c r="N399" s="81"/>
      <c r="O399" s="81"/>
      <c r="P399" s="81"/>
    </row>
    <row r="400" spans="2:16" ht="11.25" hidden="1">
      <c r="B400" s="15">
        <v>10</v>
      </c>
      <c r="C400" s="23">
        <f t="shared" si="167"/>
        <v>2510</v>
      </c>
      <c r="D400" s="24"/>
      <c r="E400" s="25"/>
      <c r="F400" s="29"/>
      <c r="G400" s="29"/>
      <c r="H400" s="27"/>
      <c r="I400" s="27"/>
      <c r="J400" s="26"/>
      <c r="K400" s="28"/>
      <c r="L400" s="79"/>
      <c r="M400" s="60"/>
      <c r="N400" s="81"/>
      <c r="O400" s="81"/>
      <c r="P400" s="81"/>
    </row>
    <row r="401" spans="2:16" ht="11.25" hidden="1">
      <c r="B401" s="15">
        <v>11</v>
      </c>
      <c r="C401" s="23">
        <f t="shared" si="167"/>
        <v>2511</v>
      </c>
      <c r="D401" s="24"/>
      <c r="E401" s="25"/>
      <c r="F401" s="29"/>
      <c r="G401" s="29"/>
      <c r="H401" s="27"/>
      <c r="I401" s="27"/>
      <c r="J401" s="26"/>
      <c r="K401" s="28"/>
      <c r="L401" s="79"/>
      <c r="M401" s="60"/>
      <c r="N401" s="81"/>
      <c r="O401" s="81"/>
      <c r="P401" s="81"/>
    </row>
    <row r="402" spans="2:16" ht="11.25" hidden="1">
      <c r="B402" s="15">
        <v>12</v>
      </c>
      <c r="C402" s="23">
        <f t="shared" si="167"/>
        <v>2512</v>
      </c>
      <c r="D402" s="24"/>
      <c r="E402" s="25"/>
      <c r="F402" s="29"/>
      <c r="G402" s="29"/>
      <c r="H402" s="27"/>
      <c r="I402" s="27"/>
      <c r="J402" s="26"/>
      <c r="K402" s="28"/>
      <c r="L402" s="79"/>
      <c r="M402" s="60"/>
      <c r="N402" s="81"/>
      <c r="O402" s="81"/>
      <c r="P402" s="81"/>
    </row>
    <row r="403" spans="2:16" ht="11.25" hidden="1">
      <c r="B403" s="15">
        <v>13</v>
      </c>
      <c r="C403" s="23">
        <f t="shared" si="167"/>
        <v>2513</v>
      </c>
      <c r="D403" s="24"/>
      <c r="E403" s="25"/>
      <c r="F403" s="29"/>
      <c r="G403" s="29"/>
      <c r="H403" s="27"/>
      <c r="I403" s="27"/>
      <c r="J403" s="26"/>
      <c r="K403" s="28"/>
      <c r="L403" s="79"/>
      <c r="M403" s="60"/>
      <c r="N403" s="81"/>
      <c r="O403" s="81"/>
      <c r="P403" s="81"/>
    </row>
    <row r="404" spans="2:16" ht="11.25" hidden="1">
      <c r="B404" s="15">
        <v>14</v>
      </c>
      <c r="C404" s="23">
        <f t="shared" si="167"/>
        <v>2514</v>
      </c>
      <c r="D404" s="24"/>
      <c r="E404" s="25"/>
      <c r="F404" s="29"/>
      <c r="G404" s="29"/>
      <c r="H404" s="27"/>
      <c r="I404" s="27"/>
      <c r="J404" s="26"/>
      <c r="K404" s="28"/>
      <c r="L404" s="79"/>
      <c r="M404" s="60"/>
      <c r="N404" s="81"/>
      <c r="O404" s="81"/>
      <c r="P404" s="81"/>
    </row>
    <row r="405" spans="2:16" ht="11.25" hidden="1">
      <c r="B405" s="15">
        <v>15</v>
      </c>
      <c r="C405" s="23">
        <f t="shared" si="167"/>
        <v>2515</v>
      </c>
      <c r="D405" s="24"/>
      <c r="E405" s="25"/>
      <c r="F405" s="29"/>
      <c r="G405" s="29"/>
      <c r="H405" s="27"/>
      <c r="I405" s="27"/>
      <c r="J405" s="26"/>
      <c r="K405" s="28"/>
      <c r="L405" s="79"/>
      <c r="M405" s="60"/>
      <c r="N405" s="81"/>
      <c r="O405" s="81"/>
      <c r="P405" s="81"/>
    </row>
    <row r="406" spans="2:16" ht="11.25" hidden="1">
      <c r="B406" s="15">
        <v>16</v>
      </c>
      <c r="C406" s="23">
        <f t="shared" si="167"/>
        <v>2516</v>
      </c>
      <c r="D406" s="24"/>
      <c r="E406" s="25"/>
      <c r="F406" s="29"/>
      <c r="G406" s="29"/>
      <c r="H406" s="27"/>
      <c r="I406" s="27"/>
      <c r="J406" s="26"/>
      <c r="K406" s="28"/>
      <c r="L406" s="79"/>
      <c r="M406" s="60"/>
      <c r="N406" s="81"/>
      <c r="O406" s="81"/>
      <c r="P406" s="81"/>
    </row>
    <row r="407" spans="1:16" ht="11.25">
      <c r="A407" s="23">
        <v>26</v>
      </c>
      <c r="B407" s="15">
        <v>1</v>
      </c>
      <c r="C407" s="23">
        <f>$A$407*100+B407</f>
        <v>2601</v>
      </c>
      <c r="D407" s="24">
        <v>30</v>
      </c>
      <c r="E407" s="25" t="s">
        <v>10</v>
      </c>
      <c r="F407" s="29">
        <v>30</v>
      </c>
      <c r="G407" s="29">
        <v>0.25</v>
      </c>
      <c r="H407" s="27">
        <f aca="true" t="shared" si="168" ref="H407:H413">F407-2*G407</f>
        <v>29.5</v>
      </c>
      <c r="I407" s="27">
        <f aca="true" t="shared" si="169" ref="I407:I413">PI()*(F407^2-H407^2)/4</f>
        <v>23.365595361074085</v>
      </c>
      <c r="J407" s="26">
        <f aca="true" t="shared" si="170" ref="J407:J413">PI()*H407^2/4</f>
        <v>683.4927516966294</v>
      </c>
      <c r="K407" s="28">
        <f aca="true" t="shared" si="171" ref="K407:K413">I407*3.399416</f>
        <v>79.42937871996102</v>
      </c>
      <c r="L407" s="60">
        <f aca="true" t="shared" si="172" ref="L407:L413">$J407*0.254^3*2.205*12</f>
        <v>296.36362825947896</v>
      </c>
      <c r="M407" s="104">
        <f aca="true" t="shared" si="173" ref="M407:M413">K407+L407</f>
        <v>375.79300697943995</v>
      </c>
      <c r="N407" s="27">
        <f aca="true" t="shared" si="174" ref="N407:N413">PI()*(($F407)^4-($H407)^4)/64</f>
        <v>2585.184074246338</v>
      </c>
      <c r="O407" s="81">
        <f aca="true" t="shared" si="175" ref="O407:O413">PI()*(($F407)^4-($H407)^4)/(32*($F407))</f>
        <v>172.34560494975585</v>
      </c>
      <c r="P407" s="81">
        <f aca="true" t="shared" si="176" ref="P407:P413">SQRT(N407/I407)</f>
        <v>10.518584743205714</v>
      </c>
    </row>
    <row r="408" spans="2:16" ht="11.25">
      <c r="B408" s="15">
        <v>2</v>
      </c>
      <c r="C408" s="23">
        <f aca="true" t="shared" si="177" ref="C408:C422">$A$407*100+B408</f>
        <v>2602</v>
      </c>
      <c r="D408" s="24">
        <v>30</v>
      </c>
      <c r="E408" s="25" t="s">
        <v>11</v>
      </c>
      <c r="F408" s="29">
        <v>30</v>
      </c>
      <c r="G408" s="29">
        <v>0.312</v>
      </c>
      <c r="H408" s="27">
        <f t="shared" si="168"/>
        <v>29.376</v>
      </c>
      <c r="I408" s="27">
        <f t="shared" si="169"/>
        <v>29.099492042329395</v>
      </c>
      <c r="J408" s="26">
        <f t="shared" si="170"/>
        <v>677.758855015374</v>
      </c>
      <c r="K408" s="28">
        <f t="shared" si="171"/>
        <v>98.92127884056723</v>
      </c>
      <c r="L408" s="60">
        <f t="shared" si="172"/>
        <v>293.87740083379873</v>
      </c>
      <c r="M408" s="104">
        <f t="shared" si="173"/>
        <v>392.798679674366</v>
      </c>
      <c r="N408" s="27">
        <f t="shared" si="174"/>
        <v>3206.308208621348</v>
      </c>
      <c r="O408" s="81">
        <f t="shared" si="175"/>
        <v>213.75388057475655</v>
      </c>
      <c r="P408" s="81">
        <f t="shared" si="176"/>
        <v>10.496872677135794</v>
      </c>
    </row>
    <row r="409" spans="2:16" ht="11.25">
      <c r="B409" s="15">
        <v>3</v>
      </c>
      <c r="C409" s="23">
        <f t="shared" si="177"/>
        <v>2603</v>
      </c>
      <c r="D409" s="24">
        <v>30</v>
      </c>
      <c r="E409" s="25">
        <v>10</v>
      </c>
      <c r="F409" s="29">
        <v>30</v>
      </c>
      <c r="G409" s="29">
        <v>0.312</v>
      </c>
      <c r="H409" s="27">
        <f t="shared" si="168"/>
        <v>29.376</v>
      </c>
      <c r="I409" s="27">
        <f t="shared" si="169"/>
        <v>29.099492042329395</v>
      </c>
      <c r="J409" s="26">
        <f t="shared" si="170"/>
        <v>677.758855015374</v>
      </c>
      <c r="K409" s="28">
        <f t="shared" si="171"/>
        <v>98.92127884056723</v>
      </c>
      <c r="L409" s="60">
        <f t="shared" si="172"/>
        <v>293.87740083379873</v>
      </c>
      <c r="M409" s="104">
        <f t="shared" si="173"/>
        <v>392.798679674366</v>
      </c>
      <c r="N409" s="27">
        <f t="shared" si="174"/>
        <v>3206.308208621348</v>
      </c>
      <c r="O409" s="81">
        <f t="shared" si="175"/>
        <v>213.75388057475655</v>
      </c>
      <c r="P409" s="81">
        <f t="shared" si="176"/>
        <v>10.496872677135794</v>
      </c>
    </row>
    <row r="410" spans="2:16" ht="11.25">
      <c r="B410" s="15">
        <v>4</v>
      </c>
      <c r="C410" s="23">
        <f t="shared" si="177"/>
        <v>2604</v>
      </c>
      <c r="D410" s="24">
        <v>30</v>
      </c>
      <c r="E410" s="25" t="s">
        <v>0</v>
      </c>
      <c r="F410" s="29">
        <v>30</v>
      </c>
      <c r="G410" s="29">
        <v>0.375</v>
      </c>
      <c r="H410" s="27">
        <f t="shared" si="168"/>
        <v>29.25</v>
      </c>
      <c r="I410" s="27">
        <f t="shared" si="169"/>
        <v>34.901130885974105</v>
      </c>
      <c r="J410" s="26">
        <f t="shared" si="170"/>
        <v>671.9572161717293</v>
      </c>
      <c r="K410" s="28">
        <f t="shared" si="171"/>
        <v>118.64346275187455</v>
      </c>
      <c r="L410" s="60">
        <f t="shared" si="172"/>
        <v>291.3618002904343</v>
      </c>
      <c r="M410" s="104">
        <f t="shared" si="173"/>
        <v>410.00526304230885</v>
      </c>
      <c r="N410" s="27">
        <f t="shared" si="174"/>
        <v>3829.444786937995</v>
      </c>
      <c r="O410" s="81">
        <f t="shared" si="175"/>
        <v>255.29631912919967</v>
      </c>
      <c r="P410" s="81">
        <f t="shared" si="176"/>
        <v>10.474858292597567</v>
      </c>
    </row>
    <row r="411" spans="2:16" ht="11.25">
      <c r="B411" s="15">
        <v>5</v>
      </c>
      <c r="C411" s="23">
        <f t="shared" si="177"/>
        <v>2605</v>
      </c>
      <c r="D411" s="24">
        <v>30</v>
      </c>
      <c r="E411" s="25">
        <v>20</v>
      </c>
      <c r="F411" s="29">
        <v>30</v>
      </c>
      <c r="G411" s="29">
        <v>0.5</v>
      </c>
      <c r="H411" s="27">
        <f t="shared" si="168"/>
        <v>29</v>
      </c>
      <c r="I411" s="27">
        <f t="shared" si="169"/>
        <v>46.33849164044945</v>
      </c>
      <c r="J411" s="26">
        <f t="shared" si="170"/>
        <v>660.519855417254</v>
      </c>
      <c r="K411" s="28">
        <f t="shared" si="171"/>
        <v>157.5238098984101</v>
      </c>
      <c r="L411" s="60">
        <f t="shared" si="172"/>
        <v>286.4025410700624</v>
      </c>
      <c r="M411" s="104">
        <f t="shared" si="173"/>
        <v>443.9263509684725</v>
      </c>
      <c r="N411" s="27">
        <f t="shared" si="174"/>
        <v>5042.207121626406</v>
      </c>
      <c r="O411" s="81">
        <f t="shared" si="175"/>
        <v>336.14714144176037</v>
      </c>
      <c r="P411" s="81">
        <f t="shared" si="176"/>
        <v>10.431323022512533</v>
      </c>
    </row>
    <row r="412" spans="2:16" ht="11.25">
      <c r="B412" s="15">
        <v>6</v>
      </c>
      <c r="C412" s="23">
        <f t="shared" si="177"/>
        <v>2606</v>
      </c>
      <c r="D412" s="24">
        <v>30</v>
      </c>
      <c r="E412" s="25" t="s">
        <v>1</v>
      </c>
      <c r="F412" s="29">
        <v>30</v>
      </c>
      <c r="G412" s="29">
        <v>0.5</v>
      </c>
      <c r="H412" s="27">
        <f t="shared" si="168"/>
        <v>29</v>
      </c>
      <c r="I412" s="27">
        <f t="shared" si="169"/>
        <v>46.33849164044945</v>
      </c>
      <c r="J412" s="26">
        <f t="shared" si="170"/>
        <v>660.519855417254</v>
      </c>
      <c r="K412" s="28">
        <f t="shared" si="171"/>
        <v>157.5238098984101</v>
      </c>
      <c r="L412" s="60">
        <f t="shared" si="172"/>
        <v>286.4025410700624</v>
      </c>
      <c r="M412" s="104">
        <f t="shared" si="173"/>
        <v>443.9263509684725</v>
      </c>
      <c r="N412" s="27">
        <f t="shared" si="174"/>
        <v>5042.207121626406</v>
      </c>
      <c r="O412" s="81">
        <f t="shared" si="175"/>
        <v>336.14714144176037</v>
      </c>
      <c r="P412" s="81">
        <f t="shared" si="176"/>
        <v>10.431323022512533</v>
      </c>
    </row>
    <row r="413" spans="2:16" ht="11.25">
      <c r="B413" s="15">
        <v>7</v>
      </c>
      <c r="C413" s="23">
        <f t="shared" si="177"/>
        <v>2607</v>
      </c>
      <c r="D413" s="24">
        <v>30</v>
      </c>
      <c r="E413" s="25">
        <v>30</v>
      </c>
      <c r="F413" s="29">
        <v>30</v>
      </c>
      <c r="G413" s="29">
        <v>0.625</v>
      </c>
      <c r="H413" s="27">
        <f t="shared" si="168"/>
        <v>28.75</v>
      </c>
      <c r="I413" s="27">
        <f t="shared" si="169"/>
        <v>57.677677624500106</v>
      </c>
      <c r="J413" s="26">
        <f t="shared" si="170"/>
        <v>649.1806694332033</v>
      </c>
      <c r="K413" s="28">
        <f t="shared" si="171"/>
        <v>196.07042015956765</v>
      </c>
      <c r="L413" s="60">
        <f t="shared" si="172"/>
        <v>281.4858505983632</v>
      </c>
      <c r="M413" s="104">
        <f t="shared" si="173"/>
        <v>477.55627075793086</v>
      </c>
      <c r="N413" s="27">
        <f t="shared" si="174"/>
        <v>6224.0072045969355</v>
      </c>
      <c r="O413" s="81">
        <f t="shared" si="175"/>
        <v>414.9338136397957</v>
      </c>
      <c r="P413" s="81">
        <f t="shared" si="176"/>
        <v>10.387981336621664</v>
      </c>
    </row>
    <row r="414" spans="2:16" ht="11.25" hidden="1">
      <c r="B414" s="15">
        <v>8</v>
      </c>
      <c r="C414" s="23">
        <f t="shared" si="177"/>
        <v>2608</v>
      </c>
      <c r="D414" s="24"/>
      <c r="E414" s="25"/>
      <c r="F414" s="29"/>
      <c r="G414" s="29"/>
      <c r="H414" s="27"/>
      <c r="I414" s="27"/>
      <c r="J414" s="26"/>
      <c r="K414" s="28"/>
      <c r="L414" s="79"/>
      <c r="M414" s="60"/>
      <c r="N414" s="81"/>
      <c r="O414" s="81"/>
      <c r="P414" s="81"/>
    </row>
    <row r="415" spans="2:16" ht="11.25" hidden="1">
      <c r="B415" s="15">
        <v>9</v>
      </c>
      <c r="C415" s="23">
        <f t="shared" si="177"/>
        <v>2609</v>
      </c>
      <c r="D415" s="24"/>
      <c r="E415" s="25"/>
      <c r="F415" s="29"/>
      <c r="G415" s="29"/>
      <c r="H415" s="27"/>
      <c r="I415" s="27"/>
      <c r="J415" s="26"/>
      <c r="K415" s="28"/>
      <c r="L415" s="79"/>
      <c r="M415" s="60"/>
      <c r="N415" s="81"/>
      <c r="O415" s="81"/>
      <c r="P415" s="81"/>
    </row>
    <row r="416" spans="2:16" ht="11.25" hidden="1">
      <c r="B416" s="15">
        <v>10</v>
      </c>
      <c r="C416" s="23">
        <f t="shared" si="177"/>
        <v>2610</v>
      </c>
      <c r="D416" s="24"/>
      <c r="E416" s="25"/>
      <c r="F416" s="29"/>
      <c r="G416" s="29"/>
      <c r="H416" s="27"/>
      <c r="I416" s="27"/>
      <c r="J416" s="26"/>
      <c r="K416" s="28"/>
      <c r="L416" s="79"/>
      <c r="M416" s="60"/>
      <c r="N416" s="81"/>
      <c r="O416" s="81"/>
      <c r="P416" s="81"/>
    </row>
    <row r="417" spans="2:16" ht="11.25" hidden="1">
      <c r="B417" s="15">
        <v>11</v>
      </c>
      <c r="C417" s="23">
        <f t="shared" si="177"/>
        <v>2611</v>
      </c>
      <c r="D417" s="24"/>
      <c r="E417" s="25"/>
      <c r="F417" s="29"/>
      <c r="G417" s="29"/>
      <c r="H417" s="27"/>
      <c r="I417" s="27"/>
      <c r="J417" s="26"/>
      <c r="K417" s="28"/>
      <c r="L417" s="79"/>
      <c r="M417" s="60"/>
      <c r="N417" s="81"/>
      <c r="O417" s="81"/>
      <c r="P417" s="81"/>
    </row>
    <row r="418" spans="2:16" ht="11.25" hidden="1">
      <c r="B418" s="15">
        <v>12</v>
      </c>
      <c r="C418" s="23">
        <f t="shared" si="177"/>
        <v>2612</v>
      </c>
      <c r="D418" s="24"/>
      <c r="E418" s="25"/>
      <c r="F418" s="29"/>
      <c r="G418" s="29"/>
      <c r="H418" s="27"/>
      <c r="I418" s="27"/>
      <c r="J418" s="26"/>
      <c r="K418" s="28"/>
      <c r="L418" s="79"/>
      <c r="M418" s="60"/>
      <c r="N418" s="81"/>
      <c r="O418" s="81"/>
      <c r="P418" s="81"/>
    </row>
    <row r="419" spans="2:16" ht="11.25" hidden="1">
      <c r="B419" s="15">
        <v>13</v>
      </c>
      <c r="C419" s="23">
        <f t="shared" si="177"/>
        <v>2613</v>
      </c>
      <c r="D419" s="24"/>
      <c r="E419" s="25"/>
      <c r="F419" s="29"/>
      <c r="G419" s="29"/>
      <c r="H419" s="27"/>
      <c r="I419" s="27"/>
      <c r="J419" s="26"/>
      <c r="K419" s="28"/>
      <c r="L419" s="79"/>
      <c r="M419" s="60"/>
      <c r="N419" s="81"/>
      <c r="O419" s="81"/>
      <c r="P419" s="81"/>
    </row>
    <row r="420" spans="2:16" ht="11.25" hidden="1">
      <c r="B420" s="15">
        <v>14</v>
      </c>
      <c r="C420" s="23">
        <f t="shared" si="177"/>
        <v>2614</v>
      </c>
      <c r="D420" s="24"/>
      <c r="E420" s="25"/>
      <c r="F420" s="29"/>
      <c r="G420" s="29"/>
      <c r="H420" s="27"/>
      <c r="I420" s="27"/>
      <c r="J420" s="26"/>
      <c r="K420" s="28"/>
      <c r="L420" s="79"/>
      <c r="M420" s="60"/>
      <c r="N420" s="81"/>
      <c r="O420" s="81"/>
      <c r="P420" s="81"/>
    </row>
    <row r="421" spans="2:16" ht="11.25" hidden="1">
      <c r="B421" s="15">
        <v>15</v>
      </c>
      <c r="C421" s="23">
        <f t="shared" si="177"/>
        <v>2615</v>
      </c>
      <c r="D421" s="24"/>
      <c r="E421" s="25"/>
      <c r="F421" s="29"/>
      <c r="G421" s="29"/>
      <c r="H421" s="27"/>
      <c r="I421" s="27"/>
      <c r="J421" s="26"/>
      <c r="K421" s="28"/>
      <c r="L421" s="79"/>
      <c r="M421" s="60"/>
      <c r="N421" s="81"/>
      <c r="O421" s="81"/>
      <c r="P421" s="81"/>
    </row>
    <row r="422" spans="2:16" ht="11.25" hidden="1">
      <c r="B422" s="15">
        <v>16</v>
      </c>
      <c r="C422" s="23">
        <f t="shared" si="177"/>
        <v>2616</v>
      </c>
      <c r="D422" s="24"/>
      <c r="E422" s="25"/>
      <c r="F422" s="29"/>
      <c r="G422" s="29"/>
      <c r="H422" s="27"/>
      <c r="I422" s="27"/>
      <c r="J422" s="26"/>
      <c r="K422" s="28"/>
      <c r="L422" s="79"/>
      <c r="M422" s="60"/>
      <c r="N422" s="81"/>
      <c r="O422" s="81"/>
      <c r="P422" s="81"/>
    </row>
    <row r="423" spans="1:16" ht="11.25">
      <c r="A423" s="23">
        <v>27</v>
      </c>
      <c r="B423" s="15">
        <v>1</v>
      </c>
      <c r="C423" s="23">
        <f>$A$423*100+B423</f>
        <v>2701</v>
      </c>
      <c r="D423" s="24">
        <v>32</v>
      </c>
      <c r="E423" s="25" t="s">
        <v>0</v>
      </c>
      <c r="F423" s="29">
        <v>32</v>
      </c>
      <c r="G423" s="29">
        <v>0.375</v>
      </c>
      <c r="H423" s="27">
        <f>F423-2*G423</f>
        <v>31.25</v>
      </c>
      <c r="I423" s="27">
        <f>PI()*(F423^2-H423^2)/4</f>
        <v>37.257325376166456</v>
      </c>
      <c r="J423" s="26">
        <f>PI()*H423^2/4</f>
        <v>766.9903939428206</v>
      </c>
      <c r="K423" s="28">
        <f>I423*3.399416</f>
        <v>126.65314800094627</v>
      </c>
      <c r="L423" s="60">
        <f>$J423*0.254^3*2.205*12</f>
        <v>332.5683490056276</v>
      </c>
      <c r="M423" s="104">
        <f>K423+L423</f>
        <v>459.2214970065739</v>
      </c>
      <c r="N423" s="27">
        <f>PI()*(($F423)^4-($H423)^4)/64</f>
        <v>4658.475499866063</v>
      </c>
      <c r="O423" s="81">
        <f>PI()*(($F423)^4-($H423)^4)/(32*($F423))</f>
        <v>291.1547187416289</v>
      </c>
      <c r="P423" s="81">
        <f>SQRT(N423/I423)</f>
        <v>11.181912012263377</v>
      </c>
    </row>
    <row r="424" spans="2:16" ht="11.25">
      <c r="B424" s="15">
        <v>2</v>
      </c>
      <c r="C424" s="23">
        <f aca="true" t="shared" si="178" ref="C424:C438">$A$423*100+B424</f>
        <v>2702</v>
      </c>
      <c r="D424" s="24">
        <v>32</v>
      </c>
      <c r="E424" s="25" t="s">
        <v>1</v>
      </c>
      <c r="F424" s="29">
        <v>32</v>
      </c>
      <c r="G424" s="29">
        <v>0.5</v>
      </c>
      <c r="H424" s="27">
        <f>F424-2*G424</f>
        <v>31</v>
      </c>
      <c r="I424" s="27">
        <f>PI()*(F424^2-H424^2)/4</f>
        <v>49.480084294039244</v>
      </c>
      <c r="J424" s="26">
        <f>PI()*H424^2/4</f>
        <v>754.7676350249478</v>
      </c>
      <c r="K424" s="28">
        <f>I424*3.399416</f>
        <v>168.2033902305057</v>
      </c>
      <c r="L424" s="60">
        <f>$J424*0.254^3*2.205*12</f>
        <v>327.2685397958739</v>
      </c>
      <c r="M424" s="104">
        <f>K424+L424</f>
        <v>495.4719300263796</v>
      </c>
      <c r="N424" s="27">
        <f>PI()*(($F424)^4-($H424)^4)/64</f>
        <v>6138.622957729243</v>
      </c>
      <c r="O424" s="81">
        <f>PI()*(($F424)^4-($H424)^4)/(32*($F424))</f>
        <v>383.6639348580777</v>
      </c>
      <c r="P424" s="81">
        <f>SQRT(N424/I424)</f>
        <v>11.138334704972731</v>
      </c>
    </row>
    <row r="425" spans="2:16" ht="11.25" hidden="1">
      <c r="B425" s="15">
        <v>3</v>
      </c>
      <c r="C425" s="23">
        <f t="shared" si="178"/>
        <v>2703</v>
      </c>
      <c r="D425" s="24"/>
      <c r="E425" s="25"/>
      <c r="F425" s="29"/>
      <c r="G425" s="29"/>
      <c r="H425" s="27"/>
      <c r="I425" s="27"/>
      <c r="J425" s="26"/>
      <c r="K425" s="28"/>
      <c r="L425" s="79"/>
      <c r="M425" s="60"/>
      <c r="N425" s="81"/>
      <c r="O425" s="81"/>
      <c r="P425" s="81"/>
    </row>
    <row r="426" spans="2:16" ht="11.25" hidden="1">
      <c r="B426" s="15">
        <v>4</v>
      </c>
      <c r="C426" s="23">
        <f t="shared" si="178"/>
        <v>2704</v>
      </c>
      <c r="D426" s="24"/>
      <c r="E426" s="25"/>
      <c r="F426" s="29"/>
      <c r="G426" s="29"/>
      <c r="H426" s="27"/>
      <c r="I426" s="27"/>
      <c r="J426" s="26"/>
      <c r="K426" s="28"/>
      <c r="L426" s="79"/>
      <c r="M426" s="60"/>
      <c r="N426" s="81"/>
      <c r="O426" s="81"/>
      <c r="P426" s="81"/>
    </row>
    <row r="427" spans="2:16" ht="11.25" hidden="1">
      <c r="B427" s="15">
        <v>5</v>
      </c>
      <c r="C427" s="23">
        <f t="shared" si="178"/>
        <v>2705</v>
      </c>
      <c r="D427" s="24"/>
      <c r="E427" s="25"/>
      <c r="F427" s="29"/>
      <c r="G427" s="29"/>
      <c r="H427" s="27"/>
      <c r="I427" s="27"/>
      <c r="J427" s="26"/>
      <c r="K427" s="28"/>
      <c r="L427" s="79"/>
      <c r="M427" s="60"/>
      <c r="N427" s="81"/>
      <c r="O427" s="81"/>
      <c r="P427" s="81"/>
    </row>
    <row r="428" spans="2:16" ht="11.25" hidden="1">
      <c r="B428" s="15">
        <v>6</v>
      </c>
      <c r="C428" s="23">
        <f t="shared" si="178"/>
        <v>2706</v>
      </c>
      <c r="D428" s="24"/>
      <c r="E428" s="25"/>
      <c r="F428" s="29"/>
      <c r="G428" s="29"/>
      <c r="H428" s="27"/>
      <c r="I428" s="27"/>
      <c r="J428" s="26"/>
      <c r="K428" s="28"/>
      <c r="L428" s="79"/>
      <c r="M428" s="60"/>
      <c r="N428" s="81"/>
      <c r="O428" s="81"/>
      <c r="P428" s="81"/>
    </row>
    <row r="429" spans="2:16" ht="11.25" hidden="1">
      <c r="B429" s="15">
        <v>7</v>
      </c>
      <c r="C429" s="23">
        <f t="shared" si="178"/>
        <v>2707</v>
      </c>
      <c r="D429" s="24"/>
      <c r="E429" s="25"/>
      <c r="F429" s="29"/>
      <c r="G429" s="29"/>
      <c r="H429" s="27"/>
      <c r="I429" s="27"/>
      <c r="J429" s="26"/>
      <c r="K429" s="28"/>
      <c r="L429" s="79"/>
      <c r="M429" s="60"/>
      <c r="N429" s="81"/>
      <c r="O429" s="81"/>
      <c r="P429" s="81"/>
    </row>
    <row r="430" spans="2:16" ht="11.25" hidden="1">
      <c r="B430" s="15">
        <v>8</v>
      </c>
      <c r="C430" s="23">
        <f t="shared" si="178"/>
        <v>2708</v>
      </c>
      <c r="D430" s="24"/>
      <c r="E430" s="25"/>
      <c r="F430" s="29"/>
      <c r="G430" s="29"/>
      <c r="H430" s="27"/>
      <c r="I430" s="27"/>
      <c r="J430" s="26"/>
      <c r="K430" s="28"/>
      <c r="L430" s="79"/>
      <c r="M430" s="60"/>
      <c r="N430" s="81"/>
      <c r="O430" s="81"/>
      <c r="P430" s="81"/>
    </row>
    <row r="431" spans="2:16" ht="11.25" hidden="1">
      <c r="B431" s="15">
        <v>9</v>
      </c>
      <c r="C431" s="23">
        <f t="shared" si="178"/>
        <v>2709</v>
      </c>
      <c r="D431" s="24"/>
      <c r="E431" s="25"/>
      <c r="F431" s="29"/>
      <c r="G431" s="29"/>
      <c r="H431" s="27"/>
      <c r="I431" s="27"/>
      <c r="J431" s="26"/>
      <c r="K431" s="28"/>
      <c r="L431" s="79"/>
      <c r="M431" s="60"/>
      <c r="N431" s="81"/>
      <c r="O431" s="81"/>
      <c r="P431" s="81"/>
    </row>
    <row r="432" spans="2:16" ht="11.25" hidden="1">
      <c r="B432" s="15">
        <v>10</v>
      </c>
      <c r="C432" s="23">
        <f t="shared" si="178"/>
        <v>2710</v>
      </c>
      <c r="D432" s="24"/>
      <c r="E432" s="25"/>
      <c r="F432" s="29"/>
      <c r="G432" s="29"/>
      <c r="H432" s="27"/>
      <c r="I432" s="27"/>
      <c r="J432" s="26"/>
      <c r="K432" s="28"/>
      <c r="L432" s="79"/>
      <c r="M432" s="60"/>
      <c r="N432" s="81"/>
      <c r="O432" s="81"/>
      <c r="P432" s="81"/>
    </row>
    <row r="433" spans="2:16" ht="11.25" hidden="1">
      <c r="B433" s="15">
        <v>11</v>
      </c>
      <c r="C433" s="23">
        <f t="shared" si="178"/>
        <v>2711</v>
      </c>
      <c r="D433" s="24"/>
      <c r="E433" s="25"/>
      <c r="F433" s="29"/>
      <c r="G433" s="29"/>
      <c r="H433" s="27"/>
      <c r="I433" s="27"/>
      <c r="J433" s="26"/>
      <c r="K433" s="28"/>
      <c r="L433" s="79"/>
      <c r="M433" s="60"/>
      <c r="N433" s="81"/>
      <c r="O433" s="81"/>
      <c r="P433" s="81"/>
    </row>
    <row r="434" spans="2:16" ht="11.25" hidden="1">
      <c r="B434" s="15">
        <v>12</v>
      </c>
      <c r="C434" s="23">
        <f t="shared" si="178"/>
        <v>2712</v>
      </c>
      <c r="D434" s="24"/>
      <c r="E434" s="25"/>
      <c r="F434" s="29"/>
      <c r="G434" s="29"/>
      <c r="H434" s="27"/>
      <c r="I434" s="27"/>
      <c r="J434" s="26"/>
      <c r="K434" s="28"/>
      <c r="L434" s="79"/>
      <c r="M434" s="60"/>
      <c r="N434" s="81"/>
      <c r="O434" s="81"/>
      <c r="P434" s="81"/>
    </row>
    <row r="435" spans="2:16" ht="11.25" hidden="1">
      <c r="B435" s="15">
        <v>13</v>
      </c>
      <c r="C435" s="23">
        <f t="shared" si="178"/>
        <v>2713</v>
      </c>
      <c r="D435" s="24"/>
      <c r="E435" s="25"/>
      <c r="F435" s="29"/>
      <c r="G435" s="29"/>
      <c r="H435" s="27"/>
      <c r="I435" s="27"/>
      <c r="J435" s="26"/>
      <c r="K435" s="28"/>
      <c r="L435" s="79"/>
      <c r="M435" s="60"/>
      <c r="N435" s="81"/>
      <c r="O435" s="81"/>
      <c r="P435" s="81"/>
    </row>
    <row r="436" spans="2:16" ht="11.25" hidden="1">
      <c r="B436" s="15">
        <v>14</v>
      </c>
      <c r="C436" s="23">
        <f t="shared" si="178"/>
        <v>2714</v>
      </c>
      <c r="D436" s="24"/>
      <c r="E436" s="25"/>
      <c r="F436" s="29"/>
      <c r="G436" s="29"/>
      <c r="H436" s="27"/>
      <c r="I436" s="27"/>
      <c r="J436" s="26"/>
      <c r="K436" s="28"/>
      <c r="L436" s="79"/>
      <c r="M436" s="60"/>
      <c r="N436" s="81"/>
      <c r="O436" s="81"/>
      <c r="P436" s="81"/>
    </row>
    <row r="437" spans="2:16" ht="11.25" hidden="1">
      <c r="B437" s="15">
        <v>15</v>
      </c>
      <c r="C437" s="23">
        <f t="shared" si="178"/>
        <v>2715</v>
      </c>
      <c r="D437" s="24"/>
      <c r="E437" s="25"/>
      <c r="F437" s="29"/>
      <c r="G437" s="29"/>
      <c r="H437" s="27"/>
      <c r="I437" s="27"/>
      <c r="J437" s="26"/>
      <c r="K437" s="28"/>
      <c r="L437" s="79"/>
      <c r="M437" s="60"/>
      <c r="N437" s="81"/>
      <c r="O437" s="81"/>
      <c r="P437" s="81"/>
    </row>
    <row r="438" spans="2:16" ht="11.25" hidden="1">
      <c r="B438" s="15">
        <v>16</v>
      </c>
      <c r="C438" s="23">
        <f t="shared" si="178"/>
        <v>2716</v>
      </c>
      <c r="D438" s="24"/>
      <c r="E438" s="25"/>
      <c r="F438" s="29"/>
      <c r="G438" s="29"/>
      <c r="H438" s="27"/>
      <c r="I438" s="27"/>
      <c r="J438" s="26"/>
      <c r="K438" s="28"/>
      <c r="L438" s="79"/>
      <c r="M438" s="60"/>
      <c r="N438" s="81"/>
      <c r="O438" s="81"/>
      <c r="P438" s="81"/>
    </row>
    <row r="439" spans="1:16" ht="11.25">
      <c r="A439" s="23">
        <v>28</v>
      </c>
      <c r="B439" s="15">
        <v>1</v>
      </c>
      <c r="C439" s="23">
        <f>$A$439*100+B439</f>
        <v>2801</v>
      </c>
      <c r="D439" s="24">
        <v>34</v>
      </c>
      <c r="E439" s="25" t="s">
        <v>0</v>
      </c>
      <c r="F439" s="29">
        <v>34</v>
      </c>
      <c r="G439" s="29">
        <v>0.375</v>
      </c>
      <c r="H439" s="27">
        <f>F439-2*G439</f>
        <v>33.25</v>
      </c>
      <c r="I439" s="27">
        <f>PI()*(F439^2-H439^2)/4</f>
        <v>39.6135198663588</v>
      </c>
      <c r="J439" s="26">
        <f>PI()*H439^2/4</f>
        <v>868.3067570210914</v>
      </c>
      <c r="K439" s="28">
        <f>I439*3.399416</f>
        <v>134.66283325001797</v>
      </c>
      <c r="L439" s="60">
        <f>$J439*0.254^3*2.205*12</f>
        <v>376.49929763587494</v>
      </c>
      <c r="M439" s="104">
        <f>K439+L439</f>
        <v>511.1621308858929</v>
      </c>
      <c r="N439" s="27">
        <f>PI()*(($F439)^4-($H439)^4)/64</f>
        <v>5599.278188922629</v>
      </c>
      <c r="O439" s="81">
        <f>PI()*(($F439)^4-($H439)^4)/(32*($F439))</f>
        <v>329.3693052307429</v>
      </c>
      <c r="P439" s="81">
        <f>SQRT(N439/I439)</f>
        <v>11.888972043452704</v>
      </c>
    </row>
    <row r="440" spans="2:16" ht="11.25">
      <c r="B440" s="15">
        <v>2</v>
      </c>
      <c r="C440" s="23">
        <f aca="true" t="shared" si="179" ref="C440:C454">$A$439*100+B440</f>
        <v>2802</v>
      </c>
      <c r="D440" s="24">
        <v>34</v>
      </c>
      <c r="E440" s="25" t="s">
        <v>1</v>
      </c>
      <c r="F440" s="29">
        <v>34</v>
      </c>
      <c r="G440" s="29">
        <v>0.5</v>
      </c>
      <c r="H440" s="27">
        <f>F440-2*G440</f>
        <v>33</v>
      </c>
      <c r="I440" s="27">
        <f>PI()*(F440^2-H440^2)/4</f>
        <v>52.621676947629034</v>
      </c>
      <c r="J440" s="26">
        <f>PI()*H440^2/4</f>
        <v>855.2985999398212</v>
      </c>
      <c r="K440" s="28">
        <f>I440*3.399416</f>
        <v>178.8829705626013</v>
      </c>
      <c r="L440" s="60">
        <f>$J440*0.254^3*2.205*12</f>
        <v>370.8589384367396</v>
      </c>
      <c r="M440" s="104">
        <f>K440+L440</f>
        <v>549.7419089993409</v>
      </c>
      <c r="N440" s="27">
        <f>PI()*(($F440)^4-($H440)^4)/64</f>
        <v>7383.479046714199</v>
      </c>
      <c r="O440" s="81">
        <f>PI()*(($F440)^4-($H440)^4)/(32*($F440))</f>
        <v>434.32229686554115</v>
      </c>
      <c r="P440" s="81">
        <f>SQRT(N440/I440)</f>
        <v>11.845357740482134</v>
      </c>
    </row>
    <row r="441" spans="2:16" ht="11.25" hidden="1">
      <c r="B441" s="15">
        <v>3</v>
      </c>
      <c r="C441" s="23">
        <f t="shared" si="179"/>
        <v>2803</v>
      </c>
      <c r="D441" s="24"/>
      <c r="E441" s="25"/>
      <c r="F441" s="29"/>
      <c r="G441" s="29"/>
      <c r="H441" s="27"/>
      <c r="I441" s="27"/>
      <c r="J441" s="26"/>
      <c r="K441" s="28"/>
      <c r="L441" s="79"/>
      <c r="M441" s="60"/>
      <c r="N441" s="81"/>
      <c r="O441" s="81"/>
      <c r="P441" s="81"/>
    </row>
    <row r="442" spans="2:16" ht="11.25" hidden="1">
      <c r="B442" s="15">
        <v>4</v>
      </c>
      <c r="C442" s="23">
        <f t="shared" si="179"/>
        <v>2804</v>
      </c>
      <c r="D442" s="24"/>
      <c r="E442" s="25"/>
      <c r="F442" s="29"/>
      <c r="G442" s="29"/>
      <c r="H442" s="27"/>
      <c r="I442" s="27"/>
      <c r="J442" s="26"/>
      <c r="K442" s="28"/>
      <c r="L442" s="79"/>
      <c r="M442" s="60"/>
      <c r="N442" s="81"/>
      <c r="O442" s="81"/>
      <c r="P442" s="81"/>
    </row>
    <row r="443" spans="2:16" ht="11.25" hidden="1">
      <c r="B443" s="15">
        <v>5</v>
      </c>
      <c r="C443" s="23">
        <f t="shared" si="179"/>
        <v>2805</v>
      </c>
      <c r="D443" s="24"/>
      <c r="E443" s="25"/>
      <c r="F443" s="29"/>
      <c r="G443" s="29"/>
      <c r="H443" s="27"/>
      <c r="I443" s="27"/>
      <c r="J443" s="26"/>
      <c r="K443" s="28"/>
      <c r="L443" s="79"/>
      <c r="M443" s="60"/>
      <c r="N443" s="81"/>
      <c r="O443" s="81"/>
      <c r="P443" s="81"/>
    </row>
    <row r="444" spans="2:16" ht="11.25" hidden="1">
      <c r="B444" s="15">
        <v>6</v>
      </c>
      <c r="C444" s="23">
        <f t="shared" si="179"/>
        <v>2806</v>
      </c>
      <c r="D444" s="24"/>
      <c r="E444" s="25"/>
      <c r="F444" s="29"/>
      <c r="G444" s="29"/>
      <c r="H444" s="27"/>
      <c r="I444" s="27"/>
      <c r="J444" s="26"/>
      <c r="K444" s="28"/>
      <c r="L444" s="79"/>
      <c r="M444" s="60"/>
      <c r="N444" s="81"/>
      <c r="O444" s="81"/>
      <c r="P444" s="81"/>
    </row>
    <row r="445" spans="2:16" ht="11.25" hidden="1">
      <c r="B445" s="15">
        <v>7</v>
      </c>
      <c r="C445" s="23">
        <f t="shared" si="179"/>
        <v>2807</v>
      </c>
      <c r="D445" s="24"/>
      <c r="E445" s="25"/>
      <c r="F445" s="29"/>
      <c r="G445" s="29"/>
      <c r="H445" s="27"/>
      <c r="I445" s="27"/>
      <c r="J445" s="26"/>
      <c r="K445" s="28"/>
      <c r="L445" s="79"/>
      <c r="M445" s="60"/>
      <c r="N445" s="81"/>
      <c r="O445" s="81"/>
      <c r="P445" s="81"/>
    </row>
    <row r="446" spans="2:16" ht="11.25" hidden="1">
      <c r="B446" s="15">
        <v>8</v>
      </c>
      <c r="C446" s="23">
        <f t="shared" si="179"/>
        <v>2808</v>
      </c>
      <c r="D446" s="24"/>
      <c r="E446" s="25"/>
      <c r="F446" s="29"/>
      <c r="G446" s="29"/>
      <c r="H446" s="27"/>
      <c r="I446" s="27"/>
      <c r="J446" s="26"/>
      <c r="K446" s="28"/>
      <c r="L446" s="79"/>
      <c r="M446" s="60"/>
      <c r="N446" s="81"/>
      <c r="O446" s="81"/>
      <c r="P446" s="81"/>
    </row>
    <row r="447" spans="2:16" ht="11.25" hidden="1">
      <c r="B447" s="15">
        <v>9</v>
      </c>
      <c r="C447" s="23">
        <f t="shared" si="179"/>
        <v>2809</v>
      </c>
      <c r="D447" s="24"/>
      <c r="E447" s="25"/>
      <c r="F447" s="29"/>
      <c r="G447" s="29"/>
      <c r="H447" s="27"/>
      <c r="I447" s="27"/>
      <c r="J447" s="26"/>
      <c r="K447" s="28"/>
      <c r="L447" s="79"/>
      <c r="M447" s="60"/>
      <c r="N447" s="81"/>
      <c r="O447" s="81"/>
      <c r="P447" s="81"/>
    </row>
    <row r="448" spans="2:16" ht="11.25" hidden="1">
      <c r="B448" s="15">
        <v>10</v>
      </c>
      <c r="C448" s="23">
        <f t="shared" si="179"/>
        <v>2810</v>
      </c>
      <c r="D448" s="24"/>
      <c r="E448" s="25"/>
      <c r="F448" s="29"/>
      <c r="G448" s="29"/>
      <c r="H448" s="27"/>
      <c r="I448" s="27"/>
      <c r="J448" s="26"/>
      <c r="K448" s="28"/>
      <c r="L448" s="79"/>
      <c r="M448" s="60"/>
      <c r="N448" s="81"/>
      <c r="O448" s="81"/>
      <c r="P448" s="81"/>
    </row>
    <row r="449" spans="2:16" ht="11.25" hidden="1">
      <c r="B449" s="15">
        <v>11</v>
      </c>
      <c r="C449" s="23">
        <f t="shared" si="179"/>
        <v>2811</v>
      </c>
      <c r="D449" s="24"/>
      <c r="E449" s="25"/>
      <c r="F449" s="29"/>
      <c r="G449" s="29"/>
      <c r="H449" s="27"/>
      <c r="I449" s="27"/>
      <c r="J449" s="26"/>
      <c r="K449" s="28"/>
      <c r="L449" s="79"/>
      <c r="M449" s="60"/>
      <c r="N449" s="81"/>
      <c r="O449" s="81"/>
      <c r="P449" s="81"/>
    </row>
    <row r="450" spans="2:16" ht="11.25" hidden="1">
      <c r="B450" s="15">
        <v>12</v>
      </c>
      <c r="C450" s="23">
        <f t="shared" si="179"/>
        <v>2812</v>
      </c>
      <c r="D450" s="24"/>
      <c r="E450" s="25"/>
      <c r="F450" s="29"/>
      <c r="G450" s="29"/>
      <c r="H450" s="27"/>
      <c r="I450" s="27"/>
      <c r="J450" s="26"/>
      <c r="K450" s="28"/>
      <c r="L450" s="79"/>
      <c r="M450" s="60"/>
      <c r="N450" s="81"/>
      <c r="O450" s="81"/>
      <c r="P450" s="81"/>
    </row>
    <row r="451" spans="2:16" ht="11.25" hidden="1">
      <c r="B451" s="15">
        <v>13</v>
      </c>
      <c r="C451" s="23">
        <f t="shared" si="179"/>
        <v>2813</v>
      </c>
      <c r="D451" s="24"/>
      <c r="E451" s="25"/>
      <c r="F451" s="29"/>
      <c r="G451" s="29"/>
      <c r="H451" s="27"/>
      <c r="I451" s="27"/>
      <c r="J451" s="26"/>
      <c r="K451" s="28"/>
      <c r="L451" s="79"/>
      <c r="M451" s="60"/>
      <c r="N451" s="81"/>
      <c r="O451" s="81"/>
      <c r="P451" s="81"/>
    </row>
    <row r="452" spans="2:16" ht="11.25" hidden="1">
      <c r="B452" s="15">
        <v>14</v>
      </c>
      <c r="C452" s="23">
        <f t="shared" si="179"/>
        <v>2814</v>
      </c>
      <c r="D452" s="24"/>
      <c r="E452" s="25"/>
      <c r="F452" s="29"/>
      <c r="G452" s="29"/>
      <c r="H452" s="27"/>
      <c r="I452" s="27"/>
      <c r="J452" s="26"/>
      <c r="K452" s="28"/>
      <c r="L452" s="79"/>
      <c r="M452" s="60"/>
      <c r="N452" s="81"/>
      <c r="O452" s="81"/>
      <c r="P452" s="81"/>
    </row>
    <row r="453" spans="2:16" ht="11.25" hidden="1">
      <c r="B453" s="15">
        <v>15</v>
      </c>
      <c r="C453" s="23">
        <f t="shared" si="179"/>
        <v>2815</v>
      </c>
      <c r="D453" s="24"/>
      <c r="E453" s="25"/>
      <c r="F453" s="29"/>
      <c r="G453" s="29"/>
      <c r="H453" s="27"/>
      <c r="I453" s="27"/>
      <c r="J453" s="26"/>
      <c r="K453" s="28"/>
      <c r="L453" s="79"/>
      <c r="M453" s="60"/>
      <c r="N453" s="81"/>
      <c r="O453" s="81"/>
      <c r="P453" s="81"/>
    </row>
    <row r="454" spans="2:16" ht="11.25" hidden="1">
      <c r="B454" s="15">
        <v>16</v>
      </c>
      <c r="C454" s="23">
        <f t="shared" si="179"/>
        <v>2816</v>
      </c>
      <c r="D454" s="24"/>
      <c r="E454" s="25"/>
      <c r="F454" s="29"/>
      <c r="G454" s="29"/>
      <c r="H454" s="27"/>
      <c r="I454" s="27"/>
      <c r="J454" s="26"/>
      <c r="K454" s="28"/>
      <c r="L454" s="79"/>
      <c r="M454" s="60"/>
      <c r="N454" s="81"/>
      <c r="O454" s="81"/>
      <c r="P454" s="81"/>
    </row>
    <row r="455" spans="1:16" ht="11.25">
      <c r="A455" s="23">
        <v>29</v>
      </c>
      <c r="B455" s="15">
        <v>1</v>
      </c>
      <c r="C455" s="23">
        <f>$A$455*100+B455</f>
        <v>2901</v>
      </c>
      <c r="D455" s="24">
        <v>36</v>
      </c>
      <c r="E455" s="25" t="s">
        <v>0</v>
      </c>
      <c r="F455" s="29">
        <v>36</v>
      </c>
      <c r="G455" s="29">
        <v>0.375</v>
      </c>
      <c r="H455" s="27">
        <f>F455-2*G455</f>
        <v>35.25</v>
      </c>
      <c r="I455" s="27">
        <f>PI()*(F455^2-H455^2)/4</f>
        <v>41.969714356551144</v>
      </c>
      <c r="J455" s="26">
        <f>PI()*H455^2/4</f>
        <v>975.9063054065418</v>
      </c>
      <c r="K455" s="28">
        <f>I455*3.399416</f>
        <v>142.67251849908968</v>
      </c>
      <c r="L455" s="60">
        <f>$J455*0.254^3*2.205*12</f>
        <v>423.1546461811764</v>
      </c>
      <c r="M455" s="104">
        <f>K455+L455</f>
        <v>565.8271646802662</v>
      </c>
      <c r="N455" s="27">
        <f>PI()*(($F455)^4-($H455)^4)/64</f>
        <v>6658.921437578272</v>
      </c>
      <c r="O455" s="81">
        <f>PI()*(($F455)^4-($H455)^4)/(32*($F455))</f>
        <v>369.94007986545955</v>
      </c>
      <c r="P455" s="81">
        <f>SQRT(N455/I455)</f>
        <v>12.596037323301324</v>
      </c>
    </row>
    <row r="456" spans="2:16" ht="11.25">
      <c r="B456" s="15">
        <v>2</v>
      </c>
      <c r="C456" s="23">
        <f aca="true" t="shared" si="180" ref="C456:C470">$A$455*100+B456</f>
        <v>2902</v>
      </c>
      <c r="D456" s="24">
        <v>36</v>
      </c>
      <c r="E456" s="25" t="s">
        <v>1</v>
      </c>
      <c r="F456" s="29">
        <v>36</v>
      </c>
      <c r="G456" s="29">
        <v>0.5</v>
      </c>
      <c r="H456" s="27">
        <f>F456-2*G456</f>
        <v>35</v>
      </c>
      <c r="I456" s="27">
        <f>PI()*(F456^2-H456^2)/4</f>
        <v>55.76326960121883</v>
      </c>
      <c r="J456" s="26">
        <f>PI()*H456^2/4</f>
        <v>962.1127501618741</v>
      </c>
      <c r="K456" s="28">
        <f>I456*3.399416</f>
        <v>189.5625508946969</v>
      </c>
      <c r="L456" s="60">
        <f>$J456*0.254^3*2.205*12</f>
        <v>417.1737369926593</v>
      </c>
      <c r="M456" s="104">
        <f>K456+L456</f>
        <v>606.7362878873562</v>
      </c>
      <c r="N456" s="27">
        <f>PI()*(($F456)^4-($H456)^4)/64</f>
        <v>8786.200166542041</v>
      </c>
      <c r="O456" s="81">
        <f>PI()*(($F456)^4-($H456)^4)/(32*($F456))</f>
        <v>488.12223147455785</v>
      </c>
      <c r="P456" s="81">
        <f>SQRT(N456/I456)</f>
        <v>12.552390210633192</v>
      </c>
    </row>
    <row r="457" spans="2:16" ht="11.25" hidden="1">
      <c r="B457" s="15">
        <v>3</v>
      </c>
      <c r="C457" s="23">
        <f t="shared" si="180"/>
        <v>2903</v>
      </c>
      <c r="D457" s="24"/>
      <c r="E457" s="25"/>
      <c r="F457" s="29"/>
      <c r="G457" s="29"/>
      <c r="H457" s="27"/>
      <c r="I457" s="27"/>
      <c r="J457" s="26"/>
      <c r="K457" s="28"/>
      <c r="L457" s="79"/>
      <c r="M457" s="60"/>
      <c r="N457" s="81"/>
      <c r="O457" s="81"/>
      <c r="P457" s="81"/>
    </row>
    <row r="458" spans="2:16" ht="11.25" hidden="1">
      <c r="B458" s="15">
        <v>4</v>
      </c>
      <c r="C458" s="23">
        <f t="shared" si="180"/>
        <v>2904</v>
      </c>
      <c r="D458" s="24"/>
      <c r="E458" s="25"/>
      <c r="F458" s="29"/>
      <c r="G458" s="29"/>
      <c r="H458" s="27"/>
      <c r="I458" s="27"/>
      <c r="J458" s="26"/>
      <c r="K458" s="28"/>
      <c r="L458" s="79"/>
      <c r="M458" s="60"/>
      <c r="N458" s="81"/>
      <c r="O458" s="81"/>
      <c r="P458" s="81"/>
    </row>
    <row r="459" spans="2:16" ht="11.25" hidden="1">
      <c r="B459" s="15">
        <v>5</v>
      </c>
      <c r="C459" s="23">
        <f t="shared" si="180"/>
        <v>2905</v>
      </c>
      <c r="D459" s="24"/>
      <c r="E459" s="25"/>
      <c r="F459" s="29"/>
      <c r="G459" s="29"/>
      <c r="H459" s="27"/>
      <c r="I459" s="27"/>
      <c r="J459" s="26"/>
      <c r="K459" s="28"/>
      <c r="L459" s="79"/>
      <c r="M459" s="60"/>
      <c r="N459" s="81"/>
      <c r="O459" s="81"/>
      <c r="P459" s="81"/>
    </row>
    <row r="460" spans="2:16" ht="11.25" hidden="1">
      <c r="B460" s="15">
        <v>6</v>
      </c>
      <c r="C460" s="23">
        <f t="shared" si="180"/>
        <v>2906</v>
      </c>
      <c r="D460" s="24"/>
      <c r="E460" s="25"/>
      <c r="F460" s="29"/>
      <c r="G460" s="29"/>
      <c r="H460" s="27"/>
      <c r="I460" s="27"/>
      <c r="J460" s="26"/>
      <c r="K460" s="28"/>
      <c r="L460" s="79"/>
      <c r="M460" s="60"/>
      <c r="N460" s="81"/>
      <c r="O460" s="81"/>
      <c r="P460" s="81"/>
    </row>
    <row r="461" spans="2:16" ht="11.25" hidden="1">
      <c r="B461" s="15">
        <v>7</v>
      </c>
      <c r="C461" s="23">
        <f t="shared" si="180"/>
        <v>2907</v>
      </c>
      <c r="D461" s="24"/>
      <c r="E461" s="25"/>
      <c r="F461" s="29"/>
      <c r="G461" s="29"/>
      <c r="H461" s="27"/>
      <c r="I461" s="27"/>
      <c r="J461" s="26"/>
      <c r="K461" s="28"/>
      <c r="L461" s="79"/>
      <c r="M461" s="60"/>
      <c r="N461" s="81"/>
      <c r="O461" s="81"/>
      <c r="P461" s="81"/>
    </row>
    <row r="462" spans="2:16" ht="11.25" hidden="1">
      <c r="B462" s="15">
        <v>8</v>
      </c>
      <c r="C462" s="23">
        <f t="shared" si="180"/>
        <v>2908</v>
      </c>
      <c r="D462" s="24"/>
      <c r="E462" s="25"/>
      <c r="F462" s="29"/>
      <c r="G462" s="29"/>
      <c r="H462" s="27"/>
      <c r="I462" s="27"/>
      <c r="J462" s="26"/>
      <c r="K462" s="28"/>
      <c r="L462" s="79"/>
      <c r="M462" s="60"/>
      <c r="N462" s="81"/>
      <c r="O462" s="81"/>
      <c r="P462" s="81"/>
    </row>
    <row r="463" spans="2:16" ht="11.25" hidden="1">
      <c r="B463" s="15">
        <v>9</v>
      </c>
      <c r="C463" s="23">
        <f t="shared" si="180"/>
        <v>2909</v>
      </c>
      <c r="D463" s="24"/>
      <c r="E463" s="25"/>
      <c r="F463" s="29"/>
      <c r="G463" s="29"/>
      <c r="H463" s="27"/>
      <c r="I463" s="27"/>
      <c r="J463" s="26"/>
      <c r="K463" s="28"/>
      <c r="L463" s="79"/>
      <c r="M463" s="60"/>
      <c r="N463" s="81"/>
      <c r="O463" s="81"/>
      <c r="P463" s="81"/>
    </row>
    <row r="464" spans="2:16" ht="11.25" hidden="1">
      <c r="B464" s="15">
        <v>10</v>
      </c>
      <c r="C464" s="23">
        <f t="shared" si="180"/>
        <v>2910</v>
      </c>
      <c r="D464" s="24"/>
      <c r="E464" s="25"/>
      <c r="F464" s="29"/>
      <c r="G464" s="29"/>
      <c r="H464" s="27"/>
      <c r="I464" s="27"/>
      <c r="J464" s="26"/>
      <c r="K464" s="28"/>
      <c r="L464" s="79"/>
      <c r="M464" s="60"/>
      <c r="N464" s="81"/>
      <c r="O464" s="81"/>
      <c r="P464" s="81"/>
    </row>
    <row r="465" spans="2:16" ht="11.25" hidden="1">
      <c r="B465" s="15">
        <v>11</v>
      </c>
      <c r="C465" s="23">
        <f t="shared" si="180"/>
        <v>2911</v>
      </c>
      <c r="D465" s="24"/>
      <c r="E465" s="25"/>
      <c r="F465" s="29"/>
      <c r="G465" s="29"/>
      <c r="H465" s="27"/>
      <c r="I465" s="27"/>
      <c r="J465" s="26"/>
      <c r="K465" s="28"/>
      <c r="L465" s="79"/>
      <c r="M465" s="60"/>
      <c r="N465" s="81"/>
      <c r="O465" s="81"/>
      <c r="P465" s="81"/>
    </row>
    <row r="466" spans="2:16" ht="11.25" hidden="1">
      <c r="B466" s="15">
        <v>12</v>
      </c>
      <c r="C466" s="23">
        <f t="shared" si="180"/>
        <v>2912</v>
      </c>
      <c r="D466" s="24"/>
      <c r="E466" s="25"/>
      <c r="F466" s="29"/>
      <c r="G466" s="29"/>
      <c r="H466" s="27"/>
      <c r="I466" s="27"/>
      <c r="J466" s="26"/>
      <c r="K466" s="28"/>
      <c r="L466" s="79"/>
      <c r="M466" s="60"/>
      <c r="N466" s="81"/>
      <c r="O466" s="81"/>
      <c r="P466" s="81"/>
    </row>
    <row r="467" spans="2:16" ht="11.25" hidden="1">
      <c r="B467" s="15">
        <v>13</v>
      </c>
      <c r="C467" s="23">
        <f t="shared" si="180"/>
        <v>2913</v>
      </c>
      <c r="D467" s="24"/>
      <c r="E467" s="25"/>
      <c r="F467" s="29"/>
      <c r="G467" s="29"/>
      <c r="H467" s="27"/>
      <c r="I467" s="27"/>
      <c r="J467" s="26"/>
      <c r="K467" s="28"/>
      <c r="L467" s="79"/>
      <c r="M467" s="60"/>
      <c r="N467" s="81"/>
      <c r="O467" s="81"/>
      <c r="P467" s="81"/>
    </row>
    <row r="468" spans="2:16" ht="11.25" hidden="1">
      <c r="B468" s="15">
        <v>14</v>
      </c>
      <c r="C468" s="23">
        <f t="shared" si="180"/>
        <v>2914</v>
      </c>
      <c r="D468" s="24"/>
      <c r="E468" s="25"/>
      <c r="F468" s="29"/>
      <c r="G468" s="29"/>
      <c r="H468" s="27"/>
      <c r="I468" s="27"/>
      <c r="J468" s="26"/>
      <c r="K468" s="28"/>
      <c r="L468" s="79"/>
      <c r="M468" s="60"/>
      <c r="N468" s="81"/>
      <c r="O468" s="81"/>
      <c r="P468" s="81"/>
    </row>
    <row r="469" spans="2:16" ht="11.25" hidden="1">
      <c r="B469" s="15">
        <v>15</v>
      </c>
      <c r="C469" s="23">
        <f t="shared" si="180"/>
        <v>2915</v>
      </c>
      <c r="D469" s="24"/>
      <c r="E469" s="25"/>
      <c r="F469" s="29"/>
      <c r="G469" s="29"/>
      <c r="H469" s="27"/>
      <c r="I469" s="27"/>
      <c r="J469" s="26"/>
      <c r="K469" s="28"/>
      <c r="L469" s="79"/>
      <c r="M469" s="60"/>
      <c r="N469" s="81"/>
      <c r="O469" s="81"/>
      <c r="P469" s="81"/>
    </row>
    <row r="470" spans="2:16" ht="11.25" hidden="1">
      <c r="B470" s="15">
        <v>16</v>
      </c>
      <c r="C470" s="23">
        <f t="shared" si="180"/>
        <v>2916</v>
      </c>
      <c r="D470" s="24"/>
      <c r="E470" s="25"/>
      <c r="F470" s="29"/>
      <c r="G470" s="29"/>
      <c r="H470" s="27"/>
      <c r="I470" s="27"/>
      <c r="J470" s="26"/>
      <c r="K470" s="28"/>
      <c r="L470" s="79"/>
      <c r="M470" s="60"/>
      <c r="N470" s="81"/>
      <c r="O470" s="81"/>
      <c r="P470" s="81"/>
    </row>
    <row r="471" spans="1:16" ht="11.25">
      <c r="A471" s="23">
        <v>30</v>
      </c>
      <c r="B471" s="15">
        <v>1</v>
      </c>
      <c r="C471" s="23">
        <f>$A$471*100+B471</f>
        <v>3001</v>
      </c>
      <c r="D471" s="24">
        <v>42</v>
      </c>
      <c r="E471" s="25" t="s">
        <v>0</v>
      </c>
      <c r="F471" s="29">
        <v>42</v>
      </c>
      <c r="G471" s="29">
        <v>0.375</v>
      </c>
      <c r="H471" s="27">
        <f>F471-2*G471</f>
        <v>41.25</v>
      </c>
      <c r="I471" s="27">
        <f>PI()*(F471^2-H471^2)/4</f>
        <v>49.038297827128176</v>
      </c>
      <c r="J471" s="26">
        <f>PI()*H471^2/4</f>
        <v>1336.4040624059705</v>
      </c>
      <c r="K471" s="28">
        <f>I471*3.399416</f>
        <v>166.70157424630474</v>
      </c>
      <c r="L471" s="60">
        <f>$J471*0.254^3*2.205*12</f>
        <v>579.4670913074056</v>
      </c>
      <c r="M471" s="104">
        <f>K471+L471</f>
        <v>746.1686655537103</v>
      </c>
      <c r="N471" s="26">
        <f>PI()*(($F471)^4-($H471)^4)/64</f>
        <v>10621.580375845431</v>
      </c>
      <c r="O471" s="81">
        <f>PI()*(($F471)^4-($H471)^4)/(32*($F471))</f>
        <v>505.7895417069253</v>
      </c>
      <c r="P471" s="81">
        <f>SQRT(N471/I471)</f>
        <v>14.717257089892804</v>
      </c>
    </row>
    <row r="472" spans="2:16" ht="11.25">
      <c r="B472" s="15">
        <v>2</v>
      </c>
      <c r="C472" s="23">
        <f aca="true" t="shared" si="181" ref="C472:C486">$A$471*100+B472</f>
        <v>3002</v>
      </c>
      <c r="D472" s="24">
        <v>42</v>
      </c>
      <c r="E472" s="25" t="s">
        <v>1</v>
      </c>
      <c r="F472" s="29">
        <v>42</v>
      </c>
      <c r="G472" s="29">
        <v>0.5</v>
      </c>
      <c r="H472" s="27">
        <f>F472-2*G472</f>
        <v>41</v>
      </c>
      <c r="I472" s="27">
        <f>PI()*(F472^2-H472^2)/4</f>
        <v>65.18804756198821</v>
      </c>
      <c r="J472" s="26">
        <f>PI()*H472^2/4</f>
        <v>1320.2543126711105</v>
      </c>
      <c r="K472" s="28">
        <f>I472*3.399416</f>
        <v>221.60129189098373</v>
      </c>
      <c r="L472" s="60">
        <f>$J472*0.254^3*2.205*12</f>
        <v>572.464532150743</v>
      </c>
      <c r="M472" s="104">
        <f>K472+L472</f>
        <v>794.0658240417267</v>
      </c>
      <c r="N472" s="26">
        <f>PI()*(($F472)^4-($H472)^4)/64</f>
        <v>14035.801490690586</v>
      </c>
      <c r="O472" s="81">
        <f>PI()*(($F472)^4-($H472)^4)/(32*($F472))</f>
        <v>668.3714995566946</v>
      </c>
      <c r="P472" s="81">
        <f>SQRT(N472/I472)</f>
        <v>14.67353059082919</v>
      </c>
    </row>
    <row r="473" spans="2:16" ht="11.25" hidden="1">
      <c r="B473" s="15">
        <v>3</v>
      </c>
      <c r="C473" s="23">
        <f t="shared" si="181"/>
        <v>3003</v>
      </c>
      <c r="D473" s="24"/>
      <c r="E473" s="25"/>
      <c r="F473" s="29"/>
      <c r="G473" s="29"/>
      <c r="H473" s="27"/>
      <c r="I473" s="27"/>
      <c r="J473" s="26"/>
      <c r="K473" s="28"/>
      <c r="L473" s="79"/>
      <c r="M473" s="60"/>
      <c r="N473" s="81"/>
      <c r="O473" s="81"/>
      <c r="P473" s="81"/>
    </row>
    <row r="474" spans="2:16" ht="11.25" hidden="1">
      <c r="B474" s="15">
        <v>4</v>
      </c>
      <c r="C474" s="23">
        <f t="shared" si="181"/>
        <v>3004</v>
      </c>
      <c r="D474" s="24"/>
      <c r="E474" s="25"/>
      <c r="F474" s="29"/>
      <c r="G474" s="29"/>
      <c r="H474" s="27"/>
      <c r="I474" s="27"/>
      <c r="J474" s="26"/>
      <c r="K474" s="28"/>
      <c r="L474" s="79"/>
      <c r="M474" s="60"/>
      <c r="N474" s="81"/>
      <c r="O474" s="81"/>
      <c r="P474" s="81"/>
    </row>
    <row r="475" spans="2:16" ht="11.25" hidden="1">
      <c r="B475" s="15">
        <v>5</v>
      </c>
      <c r="C475" s="23">
        <f t="shared" si="181"/>
        <v>3005</v>
      </c>
      <c r="D475" s="24"/>
      <c r="E475" s="25"/>
      <c r="F475" s="29"/>
      <c r="G475" s="29"/>
      <c r="H475" s="27"/>
      <c r="I475" s="27"/>
      <c r="J475" s="26"/>
      <c r="K475" s="28"/>
      <c r="L475" s="79"/>
      <c r="M475" s="60"/>
      <c r="N475" s="81"/>
      <c r="O475" s="81"/>
      <c r="P475" s="81"/>
    </row>
    <row r="476" spans="2:16" ht="11.25" hidden="1">
      <c r="B476" s="15">
        <v>6</v>
      </c>
      <c r="C476" s="23">
        <f t="shared" si="181"/>
        <v>3006</v>
      </c>
      <c r="D476" s="24"/>
      <c r="E476" s="25"/>
      <c r="F476" s="29"/>
      <c r="G476" s="29"/>
      <c r="H476" s="27"/>
      <c r="I476" s="27"/>
      <c r="J476" s="26"/>
      <c r="K476" s="28"/>
      <c r="L476" s="79"/>
      <c r="M476" s="60"/>
      <c r="N476" s="81"/>
      <c r="O476" s="81"/>
      <c r="P476" s="81"/>
    </row>
    <row r="477" spans="2:16" ht="11.25" hidden="1">
      <c r="B477" s="15">
        <v>7</v>
      </c>
      <c r="C477" s="23">
        <f t="shared" si="181"/>
        <v>3007</v>
      </c>
      <c r="D477" s="24"/>
      <c r="E477" s="25"/>
      <c r="F477" s="29"/>
      <c r="G477" s="29"/>
      <c r="H477" s="27"/>
      <c r="I477" s="27"/>
      <c r="J477" s="26"/>
      <c r="K477" s="28"/>
      <c r="L477" s="79"/>
      <c r="M477" s="60"/>
      <c r="N477" s="81"/>
      <c r="O477" s="81"/>
      <c r="P477" s="81"/>
    </row>
    <row r="478" spans="2:16" ht="11.25" hidden="1">
      <c r="B478" s="15">
        <v>8</v>
      </c>
      <c r="C478" s="23">
        <f t="shared" si="181"/>
        <v>3008</v>
      </c>
      <c r="D478" s="24"/>
      <c r="E478" s="25"/>
      <c r="F478" s="29"/>
      <c r="G478" s="29"/>
      <c r="H478" s="27"/>
      <c r="I478" s="27"/>
      <c r="J478" s="26"/>
      <c r="K478" s="28"/>
      <c r="L478" s="79"/>
      <c r="M478" s="60"/>
      <c r="N478" s="81"/>
      <c r="O478" s="81"/>
      <c r="P478" s="81"/>
    </row>
    <row r="479" spans="2:16" ht="11.25" hidden="1">
      <c r="B479" s="15">
        <v>9</v>
      </c>
      <c r="C479" s="23">
        <f t="shared" si="181"/>
        <v>3009</v>
      </c>
      <c r="D479" s="24"/>
      <c r="E479" s="25"/>
      <c r="F479" s="29"/>
      <c r="G479" s="29"/>
      <c r="H479" s="27"/>
      <c r="I479" s="27"/>
      <c r="J479" s="26"/>
      <c r="K479" s="28"/>
      <c r="L479" s="79"/>
      <c r="M479" s="60"/>
      <c r="N479" s="81"/>
      <c r="O479" s="81"/>
      <c r="P479" s="81"/>
    </row>
    <row r="480" spans="2:16" ht="11.25" hidden="1">
      <c r="B480" s="15">
        <v>10</v>
      </c>
      <c r="C480" s="23">
        <f t="shared" si="181"/>
        <v>3010</v>
      </c>
      <c r="D480" s="24"/>
      <c r="E480" s="25"/>
      <c r="F480" s="29"/>
      <c r="G480" s="29"/>
      <c r="H480" s="27"/>
      <c r="I480" s="27"/>
      <c r="J480" s="26"/>
      <c r="K480" s="28"/>
      <c r="L480" s="79"/>
      <c r="M480" s="60"/>
      <c r="N480" s="81"/>
      <c r="O480" s="81"/>
      <c r="P480" s="81"/>
    </row>
    <row r="481" spans="2:16" ht="11.25" hidden="1">
      <c r="B481" s="15">
        <v>11</v>
      </c>
      <c r="C481" s="23">
        <f t="shared" si="181"/>
        <v>3011</v>
      </c>
      <c r="D481" s="24"/>
      <c r="E481" s="25"/>
      <c r="F481" s="29"/>
      <c r="G481" s="29"/>
      <c r="H481" s="27"/>
      <c r="I481" s="27"/>
      <c r="J481" s="26"/>
      <c r="K481" s="28"/>
      <c r="L481" s="79"/>
      <c r="M481" s="60"/>
      <c r="N481" s="81"/>
      <c r="O481" s="81"/>
      <c r="P481" s="81"/>
    </row>
    <row r="482" spans="2:16" ht="11.25" hidden="1">
      <c r="B482" s="15">
        <v>12</v>
      </c>
      <c r="C482" s="23">
        <f t="shared" si="181"/>
        <v>3012</v>
      </c>
      <c r="D482" s="24"/>
      <c r="E482" s="25"/>
      <c r="F482" s="29"/>
      <c r="G482" s="29"/>
      <c r="H482" s="27"/>
      <c r="I482" s="27"/>
      <c r="J482" s="26"/>
      <c r="K482" s="28"/>
      <c r="L482" s="79"/>
      <c r="M482" s="60"/>
      <c r="N482" s="81"/>
      <c r="O482" s="81"/>
      <c r="P482" s="81"/>
    </row>
    <row r="483" spans="2:16" ht="11.25" hidden="1">
      <c r="B483" s="15">
        <v>13</v>
      </c>
      <c r="C483" s="23">
        <f t="shared" si="181"/>
        <v>3013</v>
      </c>
      <c r="D483" s="24"/>
      <c r="E483" s="25"/>
      <c r="F483" s="29"/>
      <c r="G483" s="29"/>
      <c r="H483" s="27"/>
      <c r="I483" s="27"/>
      <c r="J483" s="26"/>
      <c r="K483" s="28"/>
      <c r="L483" s="79"/>
      <c r="M483" s="60"/>
      <c r="N483" s="81"/>
      <c r="O483" s="81"/>
      <c r="P483" s="81"/>
    </row>
    <row r="484" spans="2:16" ht="11.25" hidden="1">
      <c r="B484" s="15">
        <v>14</v>
      </c>
      <c r="C484" s="23">
        <f t="shared" si="181"/>
        <v>3014</v>
      </c>
      <c r="D484" s="24"/>
      <c r="E484" s="25"/>
      <c r="F484" s="29"/>
      <c r="G484" s="29"/>
      <c r="H484" s="27"/>
      <c r="I484" s="27"/>
      <c r="J484" s="26"/>
      <c r="K484" s="28"/>
      <c r="L484" s="79"/>
      <c r="M484" s="60"/>
      <c r="N484" s="81"/>
      <c r="O484" s="81"/>
      <c r="P484" s="81"/>
    </row>
    <row r="485" spans="2:16" ht="11.25" hidden="1">
      <c r="B485" s="15">
        <v>15</v>
      </c>
      <c r="C485" s="23">
        <f t="shared" si="181"/>
        <v>3015</v>
      </c>
      <c r="D485" s="24"/>
      <c r="E485" s="25"/>
      <c r="F485" s="29"/>
      <c r="G485" s="29"/>
      <c r="H485" s="27"/>
      <c r="I485" s="27"/>
      <c r="J485" s="26"/>
      <c r="K485" s="28"/>
      <c r="L485" s="79"/>
      <c r="M485" s="60"/>
      <c r="N485" s="81"/>
      <c r="O485" s="81"/>
      <c r="P485" s="81"/>
    </row>
    <row r="486" spans="2:16" ht="11.25" hidden="1">
      <c r="B486" s="15">
        <v>16</v>
      </c>
      <c r="C486" s="23">
        <f t="shared" si="181"/>
        <v>3016</v>
      </c>
      <c r="D486" s="24"/>
      <c r="E486" s="25"/>
      <c r="F486" s="29"/>
      <c r="G486" s="29"/>
      <c r="H486" s="27"/>
      <c r="I486" s="27"/>
      <c r="J486" s="26"/>
      <c r="K486" s="28"/>
      <c r="L486" s="79"/>
      <c r="M486" s="60"/>
      <c r="N486" s="81"/>
      <c r="O486" s="81"/>
      <c r="P486" s="81"/>
    </row>
    <row r="487" spans="1:16" ht="11.25">
      <c r="A487" s="23">
        <v>31</v>
      </c>
      <c r="B487" s="15">
        <v>1</v>
      </c>
      <c r="C487" s="23">
        <f>$A$487*100+B487</f>
        <v>3101</v>
      </c>
      <c r="D487" s="24">
        <v>48</v>
      </c>
      <c r="E487" s="25" t="s">
        <v>0</v>
      </c>
      <c r="F487" s="29">
        <v>48</v>
      </c>
      <c r="G487" s="29">
        <v>0.375</v>
      </c>
      <c r="H487" s="27">
        <f>F487-2*G487</f>
        <v>47.25</v>
      </c>
      <c r="I487" s="27">
        <f>PI()*(F487^2-H487^2)/4</f>
        <v>56.106881297705215</v>
      </c>
      <c r="J487" s="26">
        <f>PI()*H487^2/4</f>
        <v>1753.4504871700155</v>
      </c>
      <c r="K487" s="28">
        <f>I487*3.399416</f>
        <v>190.73062999351987</v>
      </c>
      <c r="L487" s="60">
        <f>$J487*0.254^3*2.205*12</f>
        <v>760.2991356691215</v>
      </c>
      <c r="M487" s="104">
        <f>K487+L487</f>
        <v>951.0297656626414</v>
      </c>
      <c r="N487" s="26">
        <f>PI()*(($F487)^4-($H487)^4)/64</f>
        <v>15908.27335544505</v>
      </c>
      <c r="O487" s="81">
        <f>PI()*(($F487)^4-($H487)^4)/(32*($F487))</f>
        <v>662.8447231435438</v>
      </c>
      <c r="P487" s="81">
        <f>SQRT(N487/I487)</f>
        <v>16.838502197345225</v>
      </c>
    </row>
    <row r="488" spans="2:16" ht="11.25">
      <c r="B488" s="15">
        <v>2</v>
      </c>
      <c r="C488" s="23">
        <f aca="true" t="shared" si="182" ref="C488:C502">$A$487*100+B488</f>
        <v>3102</v>
      </c>
      <c r="D488" s="24">
        <v>48</v>
      </c>
      <c r="E488" s="25" t="s">
        <v>1</v>
      </c>
      <c r="F488" s="29">
        <v>48</v>
      </c>
      <c r="G488" s="29">
        <v>0.5</v>
      </c>
      <c r="H488" s="27">
        <f>F488-2*G488</f>
        <v>47</v>
      </c>
      <c r="I488" s="27">
        <f>PI()*(F488^2-H488^2)/4</f>
        <v>74.61282552275759</v>
      </c>
      <c r="J488" s="26">
        <f>PI()*H488^2/4</f>
        <v>1734.9445429449634</v>
      </c>
      <c r="K488" s="28">
        <f>I488*3.399416</f>
        <v>253.6400328872705</v>
      </c>
      <c r="L488" s="60">
        <f>$J488*0.254^3*2.205*12</f>
        <v>752.2749265443138</v>
      </c>
      <c r="M488" s="79">
        <f>K488+L488</f>
        <v>1005.9149594315843</v>
      </c>
      <c r="N488" s="26">
        <f>PI()*(($F488)^4-($H488)^4)/64</f>
        <v>21045.480099012813</v>
      </c>
      <c r="O488" s="81">
        <f>PI()*(($F488)^4-($H488)^4)/(32*($F488))</f>
        <v>876.8950041255339</v>
      </c>
      <c r="P488" s="81">
        <f>SQRT(N488/I488)</f>
        <v>16.794716431068434</v>
      </c>
    </row>
    <row r="489" spans="2:3" ht="11.25" hidden="1">
      <c r="B489" s="15">
        <v>3</v>
      </c>
      <c r="C489" s="23">
        <f t="shared" si="182"/>
        <v>3103</v>
      </c>
    </row>
    <row r="490" spans="2:3" ht="11.25" hidden="1">
      <c r="B490" s="15">
        <v>4</v>
      </c>
      <c r="C490" s="23">
        <f t="shared" si="182"/>
        <v>3104</v>
      </c>
    </row>
    <row r="491" spans="2:3" ht="11.25" hidden="1">
      <c r="B491" s="15">
        <v>5</v>
      </c>
      <c r="C491" s="23">
        <f t="shared" si="182"/>
        <v>3105</v>
      </c>
    </row>
    <row r="492" spans="2:3" ht="11.25" hidden="1">
      <c r="B492" s="15">
        <v>6</v>
      </c>
      <c r="C492" s="23">
        <f t="shared" si="182"/>
        <v>3106</v>
      </c>
    </row>
    <row r="493" spans="2:3" ht="11.25" hidden="1">
      <c r="B493" s="15">
        <v>7</v>
      </c>
      <c r="C493" s="23">
        <f t="shared" si="182"/>
        <v>3107</v>
      </c>
    </row>
    <row r="494" spans="2:3" ht="11.25" hidden="1">
      <c r="B494" s="15">
        <v>8</v>
      </c>
      <c r="C494" s="23">
        <f t="shared" si="182"/>
        <v>3108</v>
      </c>
    </row>
    <row r="495" spans="2:3" ht="11.25" hidden="1">
      <c r="B495" s="15">
        <v>9</v>
      </c>
      <c r="C495" s="23">
        <f t="shared" si="182"/>
        <v>3109</v>
      </c>
    </row>
    <row r="496" spans="2:3" ht="11.25" hidden="1">
      <c r="B496" s="15">
        <v>10</v>
      </c>
      <c r="C496" s="23">
        <f t="shared" si="182"/>
        <v>3110</v>
      </c>
    </row>
    <row r="497" spans="2:3" ht="11.25" hidden="1">
      <c r="B497" s="15">
        <v>11</v>
      </c>
      <c r="C497" s="23">
        <f t="shared" si="182"/>
        <v>3111</v>
      </c>
    </row>
    <row r="498" spans="2:3" ht="11.25" hidden="1">
      <c r="B498" s="15">
        <v>12</v>
      </c>
      <c r="C498" s="23">
        <f t="shared" si="182"/>
        <v>3112</v>
      </c>
    </row>
    <row r="499" spans="2:3" ht="11.25" hidden="1">
      <c r="B499" s="15">
        <v>13</v>
      </c>
      <c r="C499" s="23">
        <f t="shared" si="182"/>
        <v>3113</v>
      </c>
    </row>
    <row r="500" spans="2:3" ht="11.25" hidden="1">
      <c r="B500" s="15">
        <v>14</v>
      </c>
      <c r="C500" s="23">
        <f t="shared" si="182"/>
        <v>3114</v>
      </c>
    </row>
    <row r="501" spans="2:3" ht="11.25" hidden="1">
      <c r="B501" s="15">
        <v>15</v>
      </c>
      <c r="C501" s="23">
        <f t="shared" si="182"/>
        <v>3115</v>
      </c>
    </row>
    <row r="502" spans="2:3" ht="11.25" hidden="1">
      <c r="B502" s="15">
        <v>16</v>
      </c>
      <c r="C502" s="23">
        <f t="shared" si="182"/>
        <v>3116</v>
      </c>
    </row>
    <row r="503" spans="1:10" ht="11.25" hidden="1">
      <c r="A503" s="87"/>
      <c r="B503" s="87"/>
      <c r="C503" s="87"/>
      <c r="D503" s="15"/>
      <c r="F503" s="86"/>
      <c r="G503" s="85"/>
      <c r="H503" s="15"/>
      <c r="J503" s="15"/>
    </row>
    <row r="504" spans="1:10" ht="11.25" hidden="1">
      <c r="A504" s="87"/>
      <c r="B504" s="87"/>
      <c r="C504" s="87"/>
      <c r="D504" s="15"/>
      <c r="F504" s="86"/>
      <c r="G504" s="85"/>
      <c r="H504" s="15"/>
      <c r="J504" s="15"/>
    </row>
    <row r="505" spans="1:10" ht="11.25" hidden="1">
      <c r="A505" s="87">
        <f>Capa!C28</f>
        <v>20</v>
      </c>
      <c r="B505" s="87"/>
      <c r="C505" s="23"/>
      <c r="D505" s="15"/>
      <c r="F505" s="86"/>
      <c r="G505" s="85"/>
      <c r="H505" s="15"/>
      <c r="J505" s="15"/>
    </row>
    <row r="506" spans="1:16" ht="11.25" hidden="1">
      <c r="A506" s="87">
        <f>$A$505</f>
        <v>20</v>
      </c>
      <c r="B506" s="23">
        <v>1</v>
      </c>
      <c r="C506" s="23">
        <f aca="true" t="shared" si="183" ref="C506:C521">A506*100+B506</f>
        <v>2001</v>
      </c>
      <c r="D506" s="15"/>
      <c r="E506" s="15" t="str">
        <f>VLOOKUP($C506,$C$7:$P$502,3)</f>
        <v>5s</v>
      </c>
      <c r="F506" s="15">
        <f>VLOOKUP($C506,$C$7:$P$502,4)</f>
        <v>16</v>
      </c>
      <c r="G506" s="15">
        <f>VLOOKUP($C506,$C$7:$P$502,5)</f>
        <v>0.169</v>
      </c>
      <c r="H506" s="15">
        <f>VLOOKUP($C506,$C$7:$P$502,6)</f>
        <v>15.662</v>
      </c>
      <c r="I506" s="15">
        <f>VLOOKUP($C506,$C$7:$P$502,7)</f>
        <v>8.405139507527592</v>
      </c>
      <c r="J506" s="15">
        <f>VLOOKUP($C506,$C$7:$P$502,8)</f>
        <v>192.65679032221917</v>
      </c>
      <c r="K506" s="15">
        <f>VLOOKUP($C506,$C$7:$P$502,9)</f>
        <v>28.572565724121414</v>
      </c>
      <c r="L506" s="15">
        <f>VLOOKUP($C506,$C$7:$P$502,10)</f>
        <v>83.53631438956505</v>
      </c>
      <c r="M506" s="15">
        <f>VLOOKUP($C506,$C$7:$P$502,11)</f>
        <v>112.10888011368647</v>
      </c>
      <c r="N506" s="15">
        <f>VLOOKUP($C506,$C$7:$P$502,11)</f>
        <v>112.10888011368647</v>
      </c>
      <c r="O506" s="15">
        <f>VLOOKUP($C506,$C$7:$P$502,12)</f>
        <v>263.342604731163</v>
      </c>
      <c r="P506" s="15">
        <f>VLOOKUP($C506,$C$7:$P$502,13)</f>
        <v>32.91782559139538</v>
      </c>
    </row>
    <row r="507" spans="1:16" ht="11.25" hidden="1">
      <c r="A507" s="87">
        <f aca="true" t="shared" si="184" ref="A507:A521">$A$505</f>
        <v>20</v>
      </c>
      <c r="B507" s="23">
        <v>2</v>
      </c>
      <c r="C507" s="23">
        <f t="shared" si="183"/>
        <v>2002</v>
      </c>
      <c r="D507" s="15"/>
      <c r="E507" s="15" t="str">
        <f aca="true" t="shared" si="185" ref="E507:E521">VLOOKUP($C507,$C$7:$P$502,3)</f>
        <v>10s</v>
      </c>
      <c r="F507" s="15">
        <f aca="true" t="shared" si="186" ref="F507:F521">VLOOKUP($C507,$C$7:$P$502,4)</f>
        <v>16</v>
      </c>
      <c r="G507" s="15">
        <f aca="true" t="shared" si="187" ref="G507:G521">VLOOKUP($C507,$C$7:$P$502,5)</f>
        <v>0.188</v>
      </c>
      <c r="H507" s="15">
        <f aca="true" t="shared" si="188" ref="H507:H521">VLOOKUP($C507,$C$7:$P$502,6)</f>
        <v>15.624</v>
      </c>
      <c r="I507" s="15">
        <f aca="true" t="shared" si="189" ref="I507:I521">VLOOKUP($C507,$C$7:$P$502,7)</f>
        <v>9.3388742512496</v>
      </c>
      <c r="J507" s="15">
        <f aca="true" t="shared" si="190" ref="J507:J521">VLOOKUP($C507,$C$7:$P$502,8)</f>
        <v>191.72305557849717</v>
      </c>
      <c r="K507" s="15">
        <f aca="true" t="shared" si="191" ref="K507:K521">VLOOKUP($C507,$C$7:$P$502,9)</f>
        <v>31.74671855168591</v>
      </c>
      <c r="L507" s="15">
        <f aca="true" t="shared" si="192" ref="L507:L521">VLOOKUP($C507,$C$7:$P$502,10)</f>
        <v>83.13144540478872</v>
      </c>
      <c r="M507" s="15">
        <f aca="true" t="shared" si="193" ref="M507:M521">VLOOKUP($C507,$C$7:$P$502,11)</f>
        <v>114.87816395647462</v>
      </c>
      <c r="N507" s="15">
        <f aca="true" t="shared" si="194" ref="N507:N521">VLOOKUP($C507,$C$7:$P$502,11)</f>
        <v>114.87816395647462</v>
      </c>
      <c r="O507" s="15">
        <f aca="true" t="shared" si="195" ref="O507:O521">VLOOKUP($C507,$C$7:$P$502,12)</f>
        <v>291.9036608959315</v>
      </c>
      <c r="P507" s="15">
        <f aca="true" t="shared" si="196" ref="P507:P521">VLOOKUP($C507,$C$7:$P$502,13)</f>
        <v>36.48795761199144</v>
      </c>
    </row>
    <row r="508" spans="1:16" ht="11.25" hidden="1">
      <c r="A508" s="87">
        <f t="shared" si="184"/>
        <v>20</v>
      </c>
      <c r="B508" s="23">
        <v>3</v>
      </c>
      <c r="C508" s="23">
        <f t="shared" si="183"/>
        <v>2003</v>
      </c>
      <c r="D508" s="15"/>
      <c r="E508" s="15">
        <f t="shared" si="185"/>
        <v>10</v>
      </c>
      <c r="F508" s="15">
        <f t="shared" si="186"/>
        <v>16</v>
      </c>
      <c r="G508" s="15">
        <f t="shared" si="187"/>
        <v>0.25</v>
      </c>
      <c r="H508" s="15">
        <f t="shared" si="188"/>
        <v>15.5</v>
      </c>
      <c r="I508" s="15">
        <f t="shared" si="189"/>
        <v>12.370021073509811</v>
      </c>
      <c r="J508" s="15">
        <f t="shared" si="190"/>
        <v>188.69190875623696</v>
      </c>
      <c r="K508" s="15">
        <f t="shared" si="191"/>
        <v>42.050847557626426</v>
      </c>
      <c r="L508" s="15">
        <f t="shared" si="192"/>
        <v>81.81713494896847</v>
      </c>
      <c r="M508" s="15">
        <f t="shared" si="193"/>
        <v>123.8679825065949</v>
      </c>
      <c r="N508" s="15">
        <f t="shared" si="194"/>
        <v>123.8679825065949</v>
      </c>
      <c r="O508" s="15">
        <f t="shared" si="195"/>
        <v>383.6639348580777</v>
      </c>
      <c r="P508" s="15">
        <f t="shared" si="196"/>
        <v>47.957991857259714</v>
      </c>
    </row>
    <row r="509" spans="1:16" ht="11.25" hidden="1">
      <c r="A509" s="87">
        <f t="shared" si="184"/>
        <v>20</v>
      </c>
      <c r="B509" s="23">
        <v>4</v>
      </c>
      <c r="C509" s="23">
        <f t="shared" si="183"/>
        <v>2004</v>
      </c>
      <c r="D509" s="15"/>
      <c r="E509" s="15">
        <f t="shared" si="185"/>
        <v>20</v>
      </c>
      <c r="F509" s="15">
        <f t="shared" si="186"/>
        <v>16</v>
      </c>
      <c r="G509" s="15">
        <f t="shared" si="187"/>
        <v>0.312</v>
      </c>
      <c r="H509" s="15">
        <f t="shared" si="188"/>
        <v>15.376</v>
      </c>
      <c r="I509" s="15">
        <f t="shared" si="189"/>
        <v>15.377015331449217</v>
      </c>
      <c r="J509" s="15">
        <f t="shared" si="190"/>
        <v>185.68491449829753</v>
      </c>
      <c r="K509" s="15">
        <f t="shared" si="191"/>
        <v>52.27287194997377</v>
      </c>
      <c r="L509" s="15">
        <f t="shared" si="192"/>
        <v>80.51329708642172</v>
      </c>
      <c r="M509" s="15">
        <f t="shared" si="193"/>
        <v>132.78616903639548</v>
      </c>
      <c r="N509" s="15">
        <f t="shared" si="194"/>
        <v>132.78616903639548</v>
      </c>
      <c r="O509" s="15">
        <f t="shared" si="195"/>
        <v>473.24819051783265</v>
      </c>
      <c r="P509" s="15">
        <f t="shared" si="196"/>
        <v>59.15602381472908</v>
      </c>
    </row>
    <row r="510" spans="1:16" ht="11.25" hidden="1">
      <c r="A510" s="87">
        <f t="shared" si="184"/>
        <v>20</v>
      </c>
      <c r="B510" s="23">
        <v>5</v>
      </c>
      <c r="C510" s="23">
        <f t="shared" si="183"/>
        <v>2005</v>
      </c>
      <c r="D510" s="15"/>
      <c r="E510" s="15">
        <f t="shared" si="185"/>
        <v>30</v>
      </c>
      <c r="F510" s="15">
        <f t="shared" si="186"/>
        <v>16</v>
      </c>
      <c r="G510" s="15">
        <f t="shared" si="187"/>
        <v>0.375</v>
      </c>
      <c r="H510" s="15">
        <f t="shared" si="188"/>
        <v>15.25</v>
      </c>
      <c r="I510" s="15">
        <f t="shared" si="189"/>
        <v>18.407769454627694</v>
      </c>
      <c r="J510" s="15">
        <f t="shared" si="190"/>
        <v>182.65416037511906</v>
      </c>
      <c r="K510" s="15">
        <f t="shared" si="191"/>
        <v>62.57566600837266</v>
      </c>
      <c r="L510" s="15">
        <f t="shared" si="192"/>
        <v>79.19915690559618</v>
      </c>
      <c r="M510" s="15">
        <f t="shared" si="193"/>
        <v>141.77482291396885</v>
      </c>
      <c r="N510" s="15">
        <f t="shared" si="194"/>
        <v>141.77482291396885</v>
      </c>
      <c r="O510" s="15">
        <f t="shared" si="195"/>
        <v>562.0841165110339</v>
      </c>
      <c r="P510" s="15">
        <f t="shared" si="196"/>
        <v>70.26051456387924</v>
      </c>
    </row>
    <row r="511" spans="1:16" ht="11.25" hidden="1">
      <c r="A511" s="87">
        <f t="shared" si="184"/>
        <v>20</v>
      </c>
      <c r="B511" s="23">
        <v>6</v>
      </c>
      <c r="C511" s="23">
        <f t="shared" si="183"/>
        <v>2006</v>
      </c>
      <c r="D511" s="15"/>
      <c r="E511" s="15" t="str">
        <f t="shared" si="185"/>
        <v>STD</v>
      </c>
      <c r="F511" s="15">
        <f t="shared" si="186"/>
        <v>16</v>
      </c>
      <c r="G511" s="15">
        <f t="shared" si="187"/>
        <v>0.375</v>
      </c>
      <c r="H511" s="15">
        <f t="shared" si="188"/>
        <v>15.25</v>
      </c>
      <c r="I511" s="15">
        <f t="shared" si="189"/>
        <v>18.407769454627694</v>
      </c>
      <c r="J511" s="15">
        <f t="shared" si="190"/>
        <v>182.65416037511906</v>
      </c>
      <c r="K511" s="15">
        <f t="shared" si="191"/>
        <v>62.57566600837266</v>
      </c>
      <c r="L511" s="15">
        <f t="shared" si="192"/>
        <v>79.19915690559618</v>
      </c>
      <c r="M511" s="15">
        <f t="shared" si="193"/>
        <v>141.77482291396885</v>
      </c>
      <c r="N511" s="15">
        <f t="shared" si="194"/>
        <v>141.77482291396885</v>
      </c>
      <c r="O511" s="15">
        <f t="shared" si="195"/>
        <v>562.0841165110339</v>
      </c>
      <c r="P511" s="15">
        <f t="shared" si="196"/>
        <v>70.26051456387924</v>
      </c>
    </row>
    <row r="512" spans="1:16" ht="11.25" hidden="1">
      <c r="A512" s="87">
        <f t="shared" si="184"/>
        <v>20</v>
      </c>
      <c r="B512" s="23">
        <v>7</v>
      </c>
      <c r="C512" s="23">
        <f t="shared" si="183"/>
        <v>2007</v>
      </c>
      <c r="D512" s="15"/>
      <c r="E512" s="15">
        <f t="shared" si="185"/>
        <v>40</v>
      </c>
      <c r="F512" s="15">
        <f t="shared" si="186"/>
        <v>16</v>
      </c>
      <c r="G512" s="15">
        <f t="shared" si="187"/>
        <v>0.5</v>
      </c>
      <c r="H512" s="15">
        <f t="shared" si="188"/>
        <v>15</v>
      </c>
      <c r="I512" s="15">
        <f t="shared" si="189"/>
        <v>24.347343065320896</v>
      </c>
      <c r="J512" s="15">
        <f t="shared" si="190"/>
        <v>176.71458676442586</v>
      </c>
      <c r="K512" s="15">
        <f t="shared" si="191"/>
        <v>82.7667475737409</v>
      </c>
      <c r="L512" s="15">
        <f t="shared" si="192"/>
        <v>76.6237476108966</v>
      </c>
      <c r="M512" s="15">
        <f t="shared" si="193"/>
        <v>159.3904951846375</v>
      </c>
      <c r="N512" s="15">
        <f t="shared" si="194"/>
        <v>159.3904951846375</v>
      </c>
      <c r="O512" s="15">
        <f t="shared" si="195"/>
        <v>731.9420009012094</v>
      </c>
      <c r="P512" s="15">
        <f t="shared" si="196"/>
        <v>91.49275011265118</v>
      </c>
    </row>
    <row r="513" spans="1:16" ht="11.25" hidden="1">
      <c r="A513" s="87">
        <f t="shared" si="184"/>
        <v>20</v>
      </c>
      <c r="B513" s="23">
        <v>8</v>
      </c>
      <c r="C513" s="23">
        <f t="shared" si="183"/>
        <v>2008</v>
      </c>
      <c r="D513" s="15"/>
      <c r="E513" s="15" t="str">
        <f t="shared" si="185"/>
        <v>XS</v>
      </c>
      <c r="F513" s="15">
        <f t="shared" si="186"/>
        <v>16</v>
      </c>
      <c r="G513" s="15">
        <f t="shared" si="187"/>
        <v>0.5</v>
      </c>
      <c r="H513" s="15">
        <f t="shared" si="188"/>
        <v>15</v>
      </c>
      <c r="I513" s="15">
        <f t="shared" si="189"/>
        <v>24.347343065320896</v>
      </c>
      <c r="J513" s="15">
        <f t="shared" si="190"/>
        <v>176.71458676442586</v>
      </c>
      <c r="K513" s="15">
        <f t="shared" si="191"/>
        <v>82.7667475737409</v>
      </c>
      <c r="L513" s="15">
        <f t="shared" si="192"/>
        <v>76.6237476108966</v>
      </c>
      <c r="M513" s="15">
        <f t="shared" si="193"/>
        <v>159.3904951846375</v>
      </c>
      <c r="N513" s="15">
        <f t="shared" si="194"/>
        <v>159.3904951846375</v>
      </c>
      <c r="O513" s="15">
        <f t="shared" si="195"/>
        <v>731.9420009012094</v>
      </c>
      <c r="P513" s="15">
        <f t="shared" si="196"/>
        <v>91.49275011265118</v>
      </c>
    </row>
    <row r="514" spans="1:16" ht="11.25" hidden="1">
      <c r="A514" s="87">
        <f t="shared" si="184"/>
        <v>20</v>
      </c>
      <c r="B514" s="23">
        <v>9</v>
      </c>
      <c r="C514" s="23">
        <f t="shared" si="183"/>
        <v>2009</v>
      </c>
      <c r="D514" s="15"/>
      <c r="E514" s="15">
        <f t="shared" si="185"/>
        <v>60</v>
      </c>
      <c r="F514" s="15">
        <f t="shared" si="186"/>
        <v>16</v>
      </c>
      <c r="G514" s="15">
        <f t="shared" si="187"/>
        <v>0.656</v>
      </c>
      <c r="H514" s="15">
        <f t="shared" si="188"/>
        <v>14.688</v>
      </c>
      <c r="I514" s="15">
        <f t="shared" si="189"/>
        <v>31.622216075903246</v>
      </c>
      <c r="J514" s="15">
        <f t="shared" si="190"/>
        <v>169.4397137538435</v>
      </c>
      <c r="K514" s="15">
        <f t="shared" si="191"/>
        <v>107.49706728388271</v>
      </c>
      <c r="L514" s="15">
        <f t="shared" si="192"/>
        <v>73.46935020844968</v>
      </c>
      <c r="M514" s="15">
        <f t="shared" si="193"/>
        <v>180.9664174923324</v>
      </c>
      <c r="N514" s="15">
        <f t="shared" si="194"/>
        <v>180.9664174923324</v>
      </c>
      <c r="O514" s="15">
        <f t="shared" si="195"/>
        <v>932.3362639400438</v>
      </c>
      <c r="P514" s="15">
        <f t="shared" si="196"/>
        <v>116.54203299250547</v>
      </c>
    </row>
    <row r="515" spans="1:16" ht="11.25" hidden="1">
      <c r="A515" s="87">
        <f t="shared" si="184"/>
        <v>20</v>
      </c>
      <c r="B515" s="23">
        <v>10</v>
      </c>
      <c r="C515" s="23">
        <f t="shared" si="183"/>
        <v>2010</v>
      </c>
      <c r="D515" s="15"/>
      <c r="E515" s="15">
        <f t="shared" si="185"/>
        <v>80</v>
      </c>
      <c r="F515" s="15">
        <f t="shared" si="186"/>
        <v>16</v>
      </c>
      <c r="G515" s="15">
        <f t="shared" si="187"/>
        <v>0.843</v>
      </c>
      <c r="H515" s="15">
        <f t="shared" si="188"/>
        <v>14.314</v>
      </c>
      <c r="I515" s="15">
        <f t="shared" si="189"/>
        <v>40.14123203393821</v>
      </c>
      <c r="J515" s="15">
        <f t="shared" si="190"/>
        <v>160.92069779580856</v>
      </c>
      <c r="K515" s="15">
        <f t="shared" si="191"/>
        <v>136.45674643588208</v>
      </c>
      <c r="L515" s="15">
        <f t="shared" si="192"/>
        <v>69.77549029222303</v>
      </c>
      <c r="M515" s="15">
        <f t="shared" si="193"/>
        <v>206.2322367281051</v>
      </c>
      <c r="N515" s="15">
        <f t="shared" si="194"/>
        <v>206.2322367281051</v>
      </c>
      <c r="O515" s="15">
        <f t="shared" si="195"/>
        <v>1156.2947722685046</v>
      </c>
      <c r="P515" s="15">
        <f t="shared" si="196"/>
        <v>144.53684653356308</v>
      </c>
    </row>
    <row r="516" spans="1:16" ht="11.25" hidden="1">
      <c r="A516" s="87">
        <f t="shared" si="184"/>
        <v>20</v>
      </c>
      <c r="B516" s="23">
        <v>11</v>
      </c>
      <c r="C516" s="23">
        <f t="shared" si="183"/>
        <v>2011</v>
      </c>
      <c r="D516" s="15"/>
      <c r="E516" s="15">
        <f t="shared" si="185"/>
        <v>100</v>
      </c>
      <c r="F516" s="15">
        <f t="shared" si="186"/>
        <v>16</v>
      </c>
      <c r="G516" s="15">
        <f t="shared" si="187"/>
        <v>1.031</v>
      </c>
      <c r="H516" s="15">
        <f t="shared" si="188"/>
        <v>13.938</v>
      </c>
      <c r="I516" s="15">
        <f t="shared" si="189"/>
        <v>48.48432194496475</v>
      </c>
      <c r="J516" s="15">
        <f t="shared" si="190"/>
        <v>152.57760788478203</v>
      </c>
      <c r="K516" s="15">
        <f t="shared" si="191"/>
        <v>164.81837976886428</v>
      </c>
      <c r="L516" s="15">
        <f t="shared" si="192"/>
        <v>66.15791221141794</v>
      </c>
      <c r="M516" s="15">
        <f t="shared" si="193"/>
        <v>230.9762919802822</v>
      </c>
      <c r="N516" s="15">
        <f t="shared" si="194"/>
        <v>230.9762919802822</v>
      </c>
      <c r="O516" s="15">
        <f t="shared" si="195"/>
        <v>1364.4331943725729</v>
      </c>
      <c r="P516" s="15">
        <f t="shared" si="196"/>
        <v>170.5541492965716</v>
      </c>
    </row>
    <row r="517" spans="1:16" ht="11.25" hidden="1">
      <c r="A517" s="87">
        <f t="shared" si="184"/>
        <v>20</v>
      </c>
      <c r="B517" s="23">
        <v>12</v>
      </c>
      <c r="C517" s="23">
        <f t="shared" si="183"/>
        <v>2012</v>
      </c>
      <c r="D517" s="15"/>
      <c r="E517" s="15">
        <f t="shared" si="185"/>
        <v>120</v>
      </c>
      <c r="F517" s="15">
        <f t="shared" si="186"/>
        <v>16</v>
      </c>
      <c r="G517" s="15">
        <f t="shared" si="187"/>
        <v>1.218</v>
      </c>
      <c r="H517" s="15">
        <f t="shared" si="188"/>
        <v>13.564</v>
      </c>
      <c r="I517" s="15">
        <f t="shared" si="189"/>
        <v>56.56272953333374</v>
      </c>
      <c r="J517" s="15">
        <f t="shared" si="190"/>
        <v>144.49920029641302</v>
      </c>
      <c r="K517" s="15">
        <f t="shared" si="191"/>
        <v>192.28024777928724</v>
      </c>
      <c r="L517" s="15">
        <f t="shared" si="192"/>
        <v>62.65510083923445</v>
      </c>
      <c r="M517" s="15">
        <f t="shared" si="193"/>
        <v>254.9353486185217</v>
      </c>
      <c r="N517" s="15">
        <f t="shared" si="194"/>
        <v>254.9353486185217</v>
      </c>
      <c r="O517" s="15">
        <f t="shared" si="195"/>
        <v>1555.4117684723299</v>
      </c>
      <c r="P517" s="15">
        <f t="shared" si="196"/>
        <v>194.42647105904123</v>
      </c>
    </row>
    <row r="518" spans="1:16" ht="11.25" hidden="1">
      <c r="A518" s="87">
        <f t="shared" si="184"/>
        <v>20</v>
      </c>
      <c r="B518" s="23">
        <v>13</v>
      </c>
      <c r="C518" s="23">
        <f t="shared" si="183"/>
        <v>2013</v>
      </c>
      <c r="D518" s="15"/>
      <c r="E518" s="15">
        <f t="shared" si="185"/>
        <v>140</v>
      </c>
      <c r="F518" s="15">
        <f t="shared" si="186"/>
        <v>16</v>
      </c>
      <c r="G518" s="15">
        <f t="shared" si="187"/>
        <v>1.438</v>
      </c>
      <c r="H518" s="15">
        <f t="shared" si="188"/>
        <v>13.124</v>
      </c>
      <c r="I518" s="15">
        <f t="shared" si="189"/>
        <v>65.7854402546242</v>
      </c>
      <c r="J518" s="15">
        <f t="shared" si="190"/>
        <v>135.27648957512255</v>
      </c>
      <c r="K518" s="15">
        <f t="shared" si="191"/>
        <v>223.6320781686136</v>
      </c>
      <c r="L518" s="15">
        <f t="shared" si="192"/>
        <v>58.65611766792144</v>
      </c>
      <c r="M518" s="15">
        <f t="shared" si="193"/>
        <v>282.288195836535</v>
      </c>
      <c r="N518" s="15">
        <f t="shared" si="194"/>
        <v>282.288195836535</v>
      </c>
      <c r="O518" s="15">
        <f t="shared" si="195"/>
        <v>1760.7447427828472</v>
      </c>
      <c r="P518" s="15">
        <f t="shared" si="196"/>
        <v>220.0930928478559</v>
      </c>
    </row>
    <row r="519" spans="1:16" ht="11.25" hidden="1">
      <c r="A519" s="87">
        <f t="shared" si="184"/>
        <v>20</v>
      </c>
      <c r="B519" s="23">
        <v>14</v>
      </c>
      <c r="C519" s="23">
        <f t="shared" si="183"/>
        <v>2014</v>
      </c>
      <c r="D519" s="15"/>
      <c r="E519" s="15">
        <f t="shared" si="185"/>
        <v>160</v>
      </c>
      <c r="F519" s="15">
        <f t="shared" si="186"/>
        <v>16</v>
      </c>
      <c r="G519" s="15">
        <f t="shared" si="187"/>
        <v>1.593</v>
      </c>
      <c r="H519" s="15">
        <f t="shared" si="188"/>
        <v>12.814</v>
      </c>
      <c r="I519" s="15">
        <f t="shared" si="189"/>
        <v>72.10065409890716</v>
      </c>
      <c r="J519" s="15">
        <f t="shared" si="190"/>
        <v>128.96127573083962</v>
      </c>
      <c r="K519" s="15">
        <f t="shared" si="191"/>
        <v>245.10011715429056</v>
      </c>
      <c r="L519" s="15">
        <f t="shared" si="192"/>
        <v>55.91783012430035</v>
      </c>
      <c r="M519" s="15">
        <f t="shared" si="193"/>
        <v>301.0179472785909</v>
      </c>
      <c r="N519" s="15">
        <f t="shared" si="194"/>
        <v>301.0179472785909</v>
      </c>
      <c r="O519" s="15">
        <f t="shared" si="195"/>
        <v>1893.537101440152</v>
      </c>
      <c r="P519" s="15">
        <f t="shared" si="196"/>
        <v>236.692137680019</v>
      </c>
    </row>
    <row r="520" spans="1:16" ht="11.25" hidden="1">
      <c r="A520" s="87">
        <f t="shared" si="184"/>
        <v>20</v>
      </c>
      <c r="B520" s="23">
        <v>15</v>
      </c>
      <c r="C520" s="23">
        <f t="shared" si="183"/>
        <v>2015</v>
      </c>
      <c r="D520" s="15"/>
      <c r="E520" s="15">
        <f t="shared" si="185"/>
        <v>0</v>
      </c>
      <c r="F520" s="15">
        <f t="shared" si="186"/>
        <v>0</v>
      </c>
      <c r="G520" s="15">
        <f t="shared" si="187"/>
        <v>0</v>
      </c>
      <c r="H520" s="15">
        <f t="shared" si="188"/>
        <v>0</v>
      </c>
      <c r="I520" s="15">
        <f t="shared" si="189"/>
        <v>0</v>
      </c>
      <c r="J520" s="15">
        <f t="shared" si="190"/>
        <v>0</v>
      </c>
      <c r="K520" s="15">
        <f t="shared" si="191"/>
        <v>0</v>
      </c>
      <c r="L520" s="15">
        <f t="shared" si="192"/>
        <v>0</v>
      </c>
      <c r="M520" s="15">
        <f t="shared" si="193"/>
        <v>0</v>
      </c>
      <c r="N520" s="15">
        <f t="shared" si="194"/>
        <v>0</v>
      </c>
      <c r="O520" s="15">
        <f t="shared" si="195"/>
        <v>0</v>
      </c>
      <c r="P520" s="15">
        <f t="shared" si="196"/>
        <v>0</v>
      </c>
    </row>
    <row r="521" spans="1:16" ht="11.25" hidden="1">
      <c r="A521" s="87">
        <f t="shared" si="184"/>
        <v>20</v>
      </c>
      <c r="B521" s="23">
        <v>16</v>
      </c>
      <c r="C521" s="23">
        <f t="shared" si="183"/>
        <v>2016</v>
      </c>
      <c r="D521" s="15"/>
      <c r="E521" s="15">
        <f t="shared" si="185"/>
        <v>0</v>
      </c>
      <c r="F521" s="15">
        <f t="shared" si="186"/>
        <v>0</v>
      </c>
      <c r="G521" s="15">
        <f t="shared" si="187"/>
        <v>0</v>
      </c>
      <c r="H521" s="15">
        <f t="shared" si="188"/>
        <v>0</v>
      </c>
      <c r="I521" s="15">
        <f t="shared" si="189"/>
        <v>0</v>
      </c>
      <c r="J521" s="15">
        <f t="shared" si="190"/>
        <v>0</v>
      </c>
      <c r="K521" s="15">
        <f t="shared" si="191"/>
        <v>0</v>
      </c>
      <c r="L521" s="15">
        <f t="shared" si="192"/>
        <v>0</v>
      </c>
      <c r="M521" s="15">
        <f t="shared" si="193"/>
        <v>0</v>
      </c>
      <c r="N521" s="15">
        <f t="shared" si="194"/>
        <v>0</v>
      </c>
      <c r="O521" s="15">
        <f t="shared" si="195"/>
        <v>0</v>
      </c>
      <c r="P521" s="15">
        <f t="shared" si="196"/>
        <v>0</v>
      </c>
    </row>
  </sheetData>
  <sheetProtection password="C420" sheet="1" objects="1" scenarios="1" selectLockedCells="1"/>
  <mergeCells count="2">
    <mergeCell ref="K3:P3"/>
    <mergeCell ref="D2:J3"/>
  </mergeCells>
  <printOptions horizontalCentered="1"/>
  <pageMargins left="0.984251968503937" right="0.1968503937007874"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521"/>
  <sheetViews>
    <sheetView showGridLines="0" showRowColHeaders="0" showZeros="0" zoomScalePageLayoutView="0" workbookViewId="0" topLeftCell="D1">
      <pane ySplit="6" topLeftCell="A7" activePane="bottomLeft" state="frozen"/>
      <selection pane="topLeft" activeCell="A1" sqref="A1"/>
      <selection pane="bottomLeft" activeCell="D2" sqref="D2:J3"/>
    </sheetView>
  </sheetViews>
  <sheetFormatPr defaultColWidth="9.140625" defaultRowHeight="12.75"/>
  <cols>
    <col min="1" max="2" width="2.7109375" style="87" hidden="1" customWidth="1"/>
    <col min="3" max="3" width="4.421875" style="87" hidden="1" customWidth="1"/>
    <col min="4" max="4" width="6.140625" style="15" bestFit="1" customWidth="1"/>
    <col min="5" max="5" width="4.8515625" style="15" bestFit="1" customWidth="1"/>
    <col min="6" max="6" width="6.57421875" style="86" customWidth="1"/>
    <col min="7" max="7" width="5.57421875" style="85" customWidth="1"/>
    <col min="8" max="8" width="8.00390625" style="15" customWidth="1"/>
    <col min="9" max="9" width="6.57421875" style="85" customWidth="1"/>
    <col min="10" max="10" width="8.57421875" style="15" bestFit="1" customWidth="1"/>
    <col min="11" max="11" width="6.57421875" style="15" customWidth="1"/>
    <col min="12" max="12" width="7.7109375" style="15" customWidth="1"/>
    <col min="13" max="13" width="6.57421875" style="15" customWidth="1"/>
    <col min="14" max="16" width="10.421875" style="84" bestFit="1" customWidth="1"/>
    <col min="17" max="16384" width="9.140625" style="30" customWidth="1"/>
  </cols>
  <sheetData>
    <row r="1" spans="4:16" ht="6" customHeight="1" thickBot="1">
      <c r="D1"/>
      <c r="E1"/>
      <c r="F1"/>
      <c r="G1"/>
      <c r="H1"/>
      <c r="I1"/>
      <c r="J1"/>
      <c r="K1" s="70"/>
      <c r="L1" s="70"/>
      <c r="M1" s="71"/>
      <c r="N1" s="71"/>
      <c r="O1" s="71"/>
      <c r="P1" s="71"/>
    </row>
    <row r="2" spans="4:16" ht="12" thickTop="1">
      <c r="D2" s="242" t="s">
        <v>173</v>
      </c>
      <c r="E2" s="243"/>
      <c r="F2" s="243"/>
      <c r="G2" s="243"/>
      <c r="H2" s="243"/>
      <c r="I2" s="243"/>
      <c r="J2" s="244"/>
      <c r="K2" s="70"/>
      <c r="L2" s="70"/>
      <c r="M2" s="71"/>
      <c r="N2" s="71"/>
      <c r="O2" s="71"/>
      <c r="P2" s="71"/>
    </row>
    <row r="3" spans="4:16" ht="13.5" thickBot="1">
      <c r="D3" s="245"/>
      <c r="E3" s="246"/>
      <c r="F3" s="246"/>
      <c r="G3" s="246"/>
      <c r="H3" s="246"/>
      <c r="I3" s="246"/>
      <c r="J3" s="247"/>
      <c r="K3" s="286" t="s">
        <v>17</v>
      </c>
      <c r="L3" s="286"/>
      <c r="M3" s="286"/>
      <c r="N3" s="286"/>
      <c r="O3" s="286"/>
      <c r="P3" s="286"/>
    </row>
    <row r="4" spans="4:16" ht="4.5" customHeight="1" thickTop="1">
      <c r="D4" s="68"/>
      <c r="E4" s="69"/>
      <c r="F4" s="70"/>
      <c r="G4" s="70"/>
      <c r="H4" s="70"/>
      <c r="I4" s="70"/>
      <c r="J4" s="70"/>
      <c r="K4" s="70"/>
      <c r="L4" s="70"/>
      <c r="M4" s="71"/>
      <c r="N4" s="71"/>
      <c r="O4" s="71"/>
      <c r="P4" s="71"/>
    </row>
    <row r="5" spans="1:16" ht="22.5">
      <c r="A5" s="72"/>
      <c r="B5" s="73"/>
      <c r="C5" s="74"/>
      <c r="D5" s="89" t="s">
        <v>3</v>
      </c>
      <c r="E5" s="90" t="s">
        <v>4</v>
      </c>
      <c r="F5" s="91" t="s">
        <v>38</v>
      </c>
      <c r="G5" s="91" t="s">
        <v>39</v>
      </c>
      <c r="H5" s="92" t="s">
        <v>40</v>
      </c>
      <c r="I5" s="93" t="s">
        <v>45</v>
      </c>
      <c r="J5" s="94" t="s">
        <v>44</v>
      </c>
      <c r="K5" s="95" t="s">
        <v>43</v>
      </c>
      <c r="L5" s="95" t="s">
        <v>56</v>
      </c>
      <c r="M5" s="95" t="s">
        <v>46</v>
      </c>
      <c r="N5" s="96" t="s">
        <v>41</v>
      </c>
      <c r="O5" s="96" t="s">
        <v>42</v>
      </c>
      <c r="P5" s="96" t="s">
        <v>47</v>
      </c>
    </row>
    <row r="6" spans="1:16" ht="12" thickBot="1">
      <c r="A6" s="23"/>
      <c r="B6" s="15"/>
      <c r="C6" s="67"/>
      <c r="D6" s="97" t="s">
        <v>5</v>
      </c>
      <c r="E6" s="98" t="s">
        <v>9</v>
      </c>
      <c r="F6" s="101" t="s">
        <v>6</v>
      </c>
      <c r="G6" s="100" t="s">
        <v>6</v>
      </c>
      <c r="H6" s="98" t="s">
        <v>6</v>
      </c>
      <c r="I6" s="100" t="s">
        <v>51</v>
      </c>
      <c r="J6" s="98" t="s">
        <v>51</v>
      </c>
      <c r="K6" s="98" t="s">
        <v>7</v>
      </c>
      <c r="L6" s="98" t="s">
        <v>7</v>
      </c>
      <c r="M6" s="98" t="s">
        <v>7</v>
      </c>
      <c r="N6" s="99" t="s">
        <v>52</v>
      </c>
      <c r="O6" s="99" t="s">
        <v>53</v>
      </c>
      <c r="P6" s="99" t="s">
        <v>8</v>
      </c>
    </row>
    <row r="7" spans="1:16" ht="12" thickTop="1">
      <c r="A7" s="23">
        <v>1</v>
      </c>
      <c r="B7" s="23">
        <v>1</v>
      </c>
      <c r="C7" s="23">
        <f>$A$7*100+B7</f>
        <v>101</v>
      </c>
      <c r="D7" s="75">
        <f>pol!D7</f>
        <v>0.125</v>
      </c>
      <c r="E7" s="60" t="str">
        <f>pol!E7</f>
        <v>10s</v>
      </c>
      <c r="F7" s="78">
        <f>pol!F7*25.4</f>
        <v>10.287</v>
      </c>
      <c r="G7" s="77">
        <f>pol!G7*25.4</f>
        <v>1.2446</v>
      </c>
      <c r="H7" s="60">
        <f>F7-2*G7</f>
        <v>7.7978000000000005</v>
      </c>
      <c r="I7" s="77">
        <f>PI()*(F7^2-H7^2)/400</f>
        <v>0.35356021061507015</v>
      </c>
      <c r="J7" s="79">
        <f>PI()*H7^2/400</f>
        <v>0.47756673197460064</v>
      </c>
      <c r="K7" s="79">
        <f>0.785*I7</f>
        <v>0.27754476533283007</v>
      </c>
      <c r="L7" s="28">
        <f>J7*0.1</f>
        <v>0.04775667319746007</v>
      </c>
      <c r="M7" s="28">
        <f aca="true" t="shared" si="0" ref="M7:M13">L7+K7</f>
        <v>0.32530143853029014</v>
      </c>
      <c r="N7" s="76">
        <f aca="true" t="shared" si="1" ref="N7:N80">PI()*(($F7/10)^4-($H7/10)^4)/64</f>
        <v>0.03682065613128105</v>
      </c>
      <c r="O7" s="76">
        <f aca="true" t="shared" si="2" ref="O7:O80">PI()*(($F7/10)^4-($H7/10)^4)/(32*($F7/10))</f>
        <v>0.0715867719087801</v>
      </c>
      <c r="P7" s="76">
        <f>SQRT(N7/I7)</f>
        <v>0.32271122330963337</v>
      </c>
    </row>
    <row r="8" spans="1:16" ht="11.25">
      <c r="A8" s="23"/>
      <c r="B8" s="15">
        <v>2</v>
      </c>
      <c r="C8" s="23">
        <f aca="true" t="shared" si="3" ref="C8:C22">$A$7*100+B8</f>
        <v>102</v>
      </c>
      <c r="D8" s="24">
        <f>pol!D8</f>
        <v>0.125</v>
      </c>
      <c r="E8" s="25">
        <f>pol!E8</f>
        <v>40</v>
      </c>
      <c r="F8" s="26">
        <f>pol!F8*25.4</f>
        <v>10.287</v>
      </c>
      <c r="G8" s="27">
        <f>pol!G8*25.4</f>
        <v>1.7272</v>
      </c>
      <c r="H8" s="25">
        <f aca="true" t="shared" si="4" ref="H8:H26">F8-2*G8</f>
        <v>6.832600000000001</v>
      </c>
      <c r="I8" s="27">
        <f aca="true" t="shared" si="5" ref="I8:I26">PI()*(F8^2-H8^2)/400</f>
        <v>0.46446834363993034</v>
      </c>
      <c r="J8" s="28">
        <f aca="true" t="shared" si="6" ref="J8:J26">PI()*H8^2/400</f>
        <v>0.36665859894974046</v>
      </c>
      <c r="K8" s="28">
        <f aca="true" t="shared" si="7" ref="K8:K26">0.785*I8</f>
        <v>0.36460764975734533</v>
      </c>
      <c r="L8" s="28">
        <f>J8*0.1</f>
        <v>0.03666585989497405</v>
      </c>
      <c r="M8" s="28">
        <f t="shared" si="0"/>
        <v>0.4012735096523194</v>
      </c>
      <c r="N8" s="29">
        <f t="shared" si="1"/>
        <v>0.04427161060162939</v>
      </c>
      <c r="O8" s="29">
        <f t="shared" si="2"/>
        <v>0.0860729281649254</v>
      </c>
      <c r="P8" s="29">
        <f aca="true" t="shared" si="8" ref="P8:P26">SQRT(N8/I8)</f>
        <v>0.30873410056228007</v>
      </c>
    </row>
    <row r="9" spans="1:16" ht="11.25">
      <c r="A9" s="23"/>
      <c r="B9" s="15">
        <v>3</v>
      </c>
      <c r="C9" s="23">
        <f t="shared" si="3"/>
        <v>103</v>
      </c>
      <c r="D9" s="24">
        <f>pol!D9</f>
        <v>0.125</v>
      </c>
      <c r="E9" s="25" t="str">
        <f>pol!E9</f>
        <v>40s</v>
      </c>
      <c r="F9" s="26">
        <f>pol!F9*25.4</f>
        <v>10.287</v>
      </c>
      <c r="G9" s="27">
        <f>pol!G9*25.4</f>
        <v>1.7272</v>
      </c>
      <c r="H9" s="25">
        <f t="shared" si="4"/>
        <v>6.832600000000001</v>
      </c>
      <c r="I9" s="27">
        <f t="shared" si="5"/>
        <v>0.46446834363993034</v>
      </c>
      <c r="J9" s="28">
        <f t="shared" si="6"/>
        <v>0.36665859894974046</v>
      </c>
      <c r="K9" s="28">
        <f t="shared" si="7"/>
        <v>0.36460764975734533</v>
      </c>
      <c r="L9" s="28">
        <f>J9*0.1</f>
        <v>0.03666585989497405</v>
      </c>
      <c r="M9" s="28">
        <f t="shared" si="0"/>
        <v>0.4012735096523194</v>
      </c>
      <c r="N9" s="29">
        <f t="shared" si="1"/>
        <v>0.04427161060162939</v>
      </c>
      <c r="O9" s="29">
        <f t="shared" si="2"/>
        <v>0.0860729281649254</v>
      </c>
      <c r="P9" s="29">
        <f t="shared" si="8"/>
        <v>0.30873410056228007</v>
      </c>
    </row>
    <row r="10" spans="1:16" ht="11.25">
      <c r="A10" s="23"/>
      <c r="B10" s="15">
        <v>4</v>
      </c>
      <c r="C10" s="23">
        <f t="shared" si="3"/>
        <v>104</v>
      </c>
      <c r="D10" s="24">
        <f>pol!D10</f>
        <v>0.125</v>
      </c>
      <c r="E10" s="25" t="str">
        <f>pol!E10</f>
        <v>STD</v>
      </c>
      <c r="F10" s="26">
        <f>pol!F10*25.4</f>
        <v>10.287</v>
      </c>
      <c r="G10" s="27">
        <f>pol!G10*25.4</f>
        <v>1.7272</v>
      </c>
      <c r="H10" s="25">
        <f t="shared" si="4"/>
        <v>6.832600000000001</v>
      </c>
      <c r="I10" s="27">
        <f t="shared" si="5"/>
        <v>0.46446834363993034</v>
      </c>
      <c r="J10" s="28">
        <f t="shared" si="6"/>
        <v>0.36665859894974046</v>
      </c>
      <c r="K10" s="28">
        <f t="shared" si="7"/>
        <v>0.36460764975734533</v>
      </c>
      <c r="L10" s="28">
        <f aca="true" t="shared" si="9" ref="L10:L73">J10*0.1</f>
        <v>0.03666585989497405</v>
      </c>
      <c r="M10" s="28">
        <f t="shared" si="0"/>
        <v>0.4012735096523194</v>
      </c>
      <c r="N10" s="29">
        <f t="shared" si="1"/>
        <v>0.04427161060162939</v>
      </c>
      <c r="O10" s="29">
        <f t="shared" si="2"/>
        <v>0.0860729281649254</v>
      </c>
      <c r="P10" s="29">
        <f t="shared" si="8"/>
        <v>0.30873410056228007</v>
      </c>
    </row>
    <row r="11" spans="1:16" ht="11.25">
      <c r="A11" s="23"/>
      <c r="B11" s="15">
        <v>5</v>
      </c>
      <c r="C11" s="23">
        <f t="shared" si="3"/>
        <v>105</v>
      </c>
      <c r="D11" s="24">
        <f>pol!D11</f>
        <v>0.125</v>
      </c>
      <c r="E11" s="25">
        <f>pol!E11</f>
        <v>80</v>
      </c>
      <c r="F11" s="26">
        <f>pol!F11*25.4</f>
        <v>10.287</v>
      </c>
      <c r="G11" s="27">
        <f>pol!G11*25.4</f>
        <v>2.413</v>
      </c>
      <c r="H11" s="25">
        <f t="shared" si="4"/>
        <v>5.461000000000001</v>
      </c>
      <c r="I11" s="27">
        <f t="shared" si="5"/>
        <v>0.5969014103768524</v>
      </c>
      <c r="J11" s="28">
        <f t="shared" si="6"/>
        <v>0.23422553221281842</v>
      </c>
      <c r="K11" s="28">
        <f t="shared" si="7"/>
        <v>0.4685676071458292</v>
      </c>
      <c r="L11" s="28">
        <f t="shared" si="9"/>
        <v>0.023422553221281842</v>
      </c>
      <c r="M11" s="28">
        <f t="shared" si="0"/>
        <v>0.491990160367111</v>
      </c>
      <c r="N11" s="29">
        <f t="shared" si="1"/>
        <v>0.05060414134463316</v>
      </c>
      <c r="O11" s="29">
        <f t="shared" si="2"/>
        <v>0.09838464342302547</v>
      </c>
      <c r="P11" s="29">
        <f t="shared" si="8"/>
        <v>0.2911667155600036</v>
      </c>
    </row>
    <row r="12" spans="1:16" ht="11.25">
      <c r="A12" s="23"/>
      <c r="B12" s="15">
        <v>6</v>
      </c>
      <c r="C12" s="23">
        <f t="shared" si="3"/>
        <v>106</v>
      </c>
      <c r="D12" s="24">
        <f>pol!D12</f>
        <v>0.125</v>
      </c>
      <c r="E12" s="25" t="str">
        <f>pol!E12</f>
        <v>80s</v>
      </c>
      <c r="F12" s="26">
        <f>pol!F12*25.4</f>
        <v>10.287</v>
      </c>
      <c r="G12" s="27">
        <f>pol!G12*25.4</f>
        <v>2.413</v>
      </c>
      <c r="H12" s="25">
        <f t="shared" si="4"/>
        <v>5.461000000000001</v>
      </c>
      <c r="I12" s="27">
        <f t="shared" si="5"/>
        <v>0.5969014103768524</v>
      </c>
      <c r="J12" s="28">
        <f t="shared" si="6"/>
        <v>0.23422553221281842</v>
      </c>
      <c r="K12" s="28">
        <f t="shared" si="7"/>
        <v>0.4685676071458292</v>
      </c>
      <c r="L12" s="28">
        <f t="shared" si="9"/>
        <v>0.023422553221281842</v>
      </c>
      <c r="M12" s="28">
        <f t="shared" si="0"/>
        <v>0.491990160367111</v>
      </c>
      <c r="N12" s="29">
        <f t="shared" si="1"/>
        <v>0.05060414134463316</v>
      </c>
      <c r="O12" s="29">
        <f t="shared" si="2"/>
        <v>0.09838464342302547</v>
      </c>
      <c r="P12" s="29">
        <f t="shared" si="8"/>
        <v>0.2911667155600036</v>
      </c>
    </row>
    <row r="13" spans="1:16" ht="11.25">
      <c r="A13" s="23"/>
      <c r="B13" s="15">
        <v>7</v>
      </c>
      <c r="C13" s="23">
        <f t="shared" si="3"/>
        <v>107</v>
      </c>
      <c r="D13" s="24">
        <f>pol!D13</f>
        <v>0.125</v>
      </c>
      <c r="E13" s="25" t="str">
        <f>pol!E13</f>
        <v>XS</v>
      </c>
      <c r="F13" s="26">
        <f>pol!F13*25.4</f>
        <v>10.287</v>
      </c>
      <c r="G13" s="27">
        <f>pol!G13*25.4</f>
        <v>2.413</v>
      </c>
      <c r="H13" s="25">
        <f t="shared" si="4"/>
        <v>5.461000000000001</v>
      </c>
      <c r="I13" s="27">
        <f t="shared" si="5"/>
        <v>0.5969014103768524</v>
      </c>
      <c r="J13" s="28">
        <f t="shared" si="6"/>
        <v>0.23422553221281842</v>
      </c>
      <c r="K13" s="28">
        <f t="shared" si="7"/>
        <v>0.4685676071458292</v>
      </c>
      <c r="L13" s="28">
        <f t="shared" si="9"/>
        <v>0.023422553221281842</v>
      </c>
      <c r="M13" s="28">
        <f t="shared" si="0"/>
        <v>0.491990160367111</v>
      </c>
      <c r="N13" s="29">
        <f t="shared" si="1"/>
        <v>0.05060414134463316</v>
      </c>
      <c r="O13" s="29">
        <f t="shared" si="2"/>
        <v>0.09838464342302547</v>
      </c>
      <c r="P13" s="29">
        <f t="shared" si="8"/>
        <v>0.2911667155600036</v>
      </c>
    </row>
    <row r="14" spans="1:16" ht="11.25" customHeight="1" hidden="1">
      <c r="A14" s="23"/>
      <c r="B14" s="15">
        <v>8</v>
      </c>
      <c r="C14" s="23">
        <f t="shared" si="3"/>
        <v>108</v>
      </c>
      <c r="D14" s="24"/>
      <c r="E14" s="25"/>
      <c r="F14" s="26"/>
      <c r="G14" s="27"/>
      <c r="H14" s="25"/>
      <c r="I14" s="27"/>
      <c r="J14" s="28"/>
      <c r="K14" s="28"/>
      <c r="L14" s="28"/>
      <c r="M14" s="28"/>
      <c r="N14" s="29"/>
      <c r="O14" s="29"/>
      <c r="P14" s="29"/>
    </row>
    <row r="15" spans="1:16" ht="11.25" customHeight="1" hidden="1">
      <c r="A15" s="23"/>
      <c r="B15" s="15">
        <v>9</v>
      </c>
      <c r="C15" s="23">
        <f t="shared" si="3"/>
        <v>109</v>
      </c>
      <c r="D15" s="24"/>
      <c r="E15" s="25"/>
      <c r="F15" s="26"/>
      <c r="G15" s="27"/>
      <c r="H15" s="25"/>
      <c r="I15" s="27"/>
      <c r="J15" s="28"/>
      <c r="K15" s="28"/>
      <c r="L15" s="28"/>
      <c r="M15" s="28"/>
      <c r="N15" s="29"/>
      <c r="O15" s="29"/>
      <c r="P15" s="29"/>
    </row>
    <row r="16" spans="1:16" ht="11.25" customHeight="1" hidden="1">
      <c r="A16" s="23"/>
      <c r="B16" s="15">
        <v>10</v>
      </c>
      <c r="C16" s="23">
        <f t="shared" si="3"/>
        <v>110</v>
      </c>
      <c r="D16" s="24"/>
      <c r="E16" s="25"/>
      <c r="F16" s="26"/>
      <c r="G16" s="27"/>
      <c r="H16" s="25"/>
      <c r="I16" s="27"/>
      <c r="J16" s="28"/>
      <c r="K16" s="28"/>
      <c r="L16" s="28"/>
      <c r="M16" s="28"/>
      <c r="N16" s="29"/>
      <c r="O16" s="29"/>
      <c r="P16" s="29"/>
    </row>
    <row r="17" spans="1:16" ht="11.25" customHeight="1" hidden="1">
      <c r="A17" s="23"/>
      <c r="B17" s="15">
        <v>11</v>
      </c>
      <c r="C17" s="23">
        <f t="shared" si="3"/>
        <v>111</v>
      </c>
      <c r="D17" s="24"/>
      <c r="E17" s="25"/>
      <c r="F17" s="26"/>
      <c r="G17" s="27"/>
      <c r="H17" s="25"/>
      <c r="I17" s="27"/>
      <c r="J17" s="28"/>
      <c r="K17" s="28"/>
      <c r="L17" s="28"/>
      <c r="M17" s="28"/>
      <c r="N17" s="29"/>
      <c r="O17" s="29"/>
      <c r="P17" s="29"/>
    </row>
    <row r="18" spans="1:16" ht="11.25" customHeight="1" hidden="1">
      <c r="A18" s="23"/>
      <c r="B18" s="15">
        <v>12</v>
      </c>
      <c r="C18" s="23">
        <f t="shared" si="3"/>
        <v>112</v>
      </c>
      <c r="D18" s="24"/>
      <c r="E18" s="25"/>
      <c r="F18" s="26"/>
      <c r="G18" s="27"/>
      <c r="H18" s="25"/>
      <c r="I18" s="27"/>
      <c r="J18" s="28"/>
      <c r="K18" s="28"/>
      <c r="L18" s="28"/>
      <c r="M18" s="28"/>
      <c r="N18" s="29"/>
      <c r="O18" s="29"/>
      <c r="P18" s="29"/>
    </row>
    <row r="19" spans="1:16" ht="11.25" customHeight="1" hidden="1">
      <c r="A19" s="23"/>
      <c r="B19" s="15">
        <v>13</v>
      </c>
      <c r="C19" s="23">
        <f t="shared" si="3"/>
        <v>113</v>
      </c>
      <c r="D19" s="24"/>
      <c r="E19" s="25"/>
      <c r="F19" s="26"/>
      <c r="G19" s="27"/>
      <c r="H19" s="25"/>
      <c r="I19" s="27"/>
      <c r="J19" s="28"/>
      <c r="K19" s="28"/>
      <c r="L19" s="28"/>
      <c r="M19" s="28"/>
      <c r="N19" s="29"/>
      <c r="O19" s="29"/>
      <c r="P19" s="29"/>
    </row>
    <row r="20" spans="1:16" ht="11.25" customHeight="1" hidden="1">
      <c r="A20" s="23"/>
      <c r="B20" s="15">
        <v>14</v>
      </c>
      <c r="C20" s="23">
        <f t="shared" si="3"/>
        <v>114</v>
      </c>
      <c r="D20" s="24"/>
      <c r="E20" s="25"/>
      <c r="F20" s="26"/>
      <c r="G20" s="27"/>
      <c r="H20" s="25"/>
      <c r="I20" s="27"/>
      <c r="J20" s="28"/>
      <c r="K20" s="28"/>
      <c r="L20" s="28"/>
      <c r="M20" s="28"/>
      <c r="N20" s="29"/>
      <c r="O20" s="29"/>
      <c r="P20" s="29"/>
    </row>
    <row r="21" spans="1:16" ht="11.25" customHeight="1" hidden="1">
      <c r="A21" s="23"/>
      <c r="B21" s="15">
        <v>15</v>
      </c>
      <c r="C21" s="23">
        <f t="shared" si="3"/>
        <v>115</v>
      </c>
      <c r="D21" s="24"/>
      <c r="E21" s="25"/>
      <c r="F21" s="26"/>
      <c r="G21" s="27"/>
      <c r="H21" s="25"/>
      <c r="I21" s="27"/>
      <c r="J21" s="28"/>
      <c r="K21" s="28"/>
      <c r="L21" s="28"/>
      <c r="M21" s="28"/>
      <c r="N21" s="29"/>
      <c r="O21" s="29"/>
      <c r="P21" s="29"/>
    </row>
    <row r="22" spans="1:16" ht="11.25" customHeight="1" hidden="1">
      <c r="A22" s="23"/>
      <c r="B22" s="15">
        <v>16</v>
      </c>
      <c r="C22" s="23">
        <f t="shared" si="3"/>
        <v>116</v>
      </c>
      <c r="D22" s="24"/>
      <c r="E22" s="25"/>
      <c r="F22" s="26"/>
      <c r="G22" s="27"/>
      <c r="H22" s="25"/>
      <c r="I22" s="27"/>
      <c r="J22" s="28"/>
      <c r="K22" s="28"/>
      <c r="L22" s="28"/>
      <c r="M22" s="28"/>
      <c r="N22" s="29"/>
      <c r="O22" s="29"/>
      <c r="P22" s="29"/>
    </row>
    <row r="23" spans="1:16" ht="11.25">
      <c r="A23" s="23">
        <v>2</v>
      </c>
      <c r="B23" s="15">
        <v>1</v>
      </c>
      <c r="C23" s="23">
        <f>$A$23*100+B23</f>
        <v>201</v>
      </c>
      <c r="D23" s="24">
        <f>pol!D23</f>
        <v>0.25</v>
      </c>
      <c r="E23" s="25" t="str">
        <f>pol!E23</f>
        <v>10s</v>
      </c>
      <c r="F23" s="26">
        <f>pol!F23*25.4</f>
        <v>13.716</v>
      </c>
      <c r="G23" s="27">
        <f>pol!G23*25.4</f>
        <v>1.651</v>
      </c>
      <c r="H23" s="25">
        <f t="shared" si="4"/>
        <v>10.414</v>
      </c>
      <c r="I23" s="27">
        <f t="shared" si="5"/>
        <v>0.6257837366854097</v>
      </c>
      <c r="J23" s="28">
        <f t="shared" si="6"/>
        <v>0.8517752723628936</v>
      </c>
      <c r="K23" s="28">
        <f t="shared" si="7"/>
        <v>0.4912402332980466</v>
      </c>
      <c r="L23" s="28">
        <f t="shared" si="9"/>
        <v>0.08517752723628937</v>
      </c>
      <c r="M23" s="28">
        <f aca="true" t="shared" si="10" ref="M23:M29">L23+K23</f>
        <v>0.576417760534336</v>
      </c>
      <c r="N23" s="29">
        <f t="shared" si="1"/>
        <v>0.11599685822932067</v>
      </c>
      <c r="O23" s="29">
        <f t="shared" si="2"/>
        <v>0.1691409422999718</v>
      </c>
      <c r="P23" s="29">
        <f t="shared" si="8"/>
        <v>0.43053749256017176</v>
      </c>
    </row>
    <row r="24" spans="1:16" ht="11.25">
      <c r="A24" s="23"/>
      <c r="B24" s="15">
        <v>2</v>
      </c>
      <c r="C24" s="23">
        <f aca="true" t="shared" si="11" ref="C24:C38">$A$23*100+B24</f>
        <v>202</v>
      </c>
      <c r="D24" s="24">
        <f>pol!D24</f>
        <v>0.25</v>
      </c>
      <c r="E24" s="25">
        <f>pol!E24</f>
        <v>40</v>
      </c>
      <c r="F24" s="26">
        <f>pol!F24*25.4</f>
        <v>13.716</v>
      </c>
      <c r="G24" s="27">
        <f>pol!G24*25.4</f>
        <v>2.2352</v>
      </c>
      <c r="H24" s="25">
        <f t="shared" si="4"/>
        <v>9.2456</v>
      </c>
      <c r="I24" s="27">
        <f t="shared" si="5"/>
        <v>0.8061918675432826</v>
      </c>
      <c r="J24" s="28">
        <f t="shared" si="6"/>
        <v>0.6713671415050206</v>
      </c>
      <c r="K24" s="28">
        <f t="shared" si="7"/>
        <v>0.6328606160214769</v>
      </c>
      <c r="L24" s="28">
        <f t="shared" si="9"/>
        <v>0.06713671415050207</v>
      </c>
      <c r="M24" s="28">
        <f t="shared" si="10"/>
        <v>0.699997330171979</v>
      </c>
      <c r="N24" s="29">
        <f t="shared" si="1"/>
        <v>0.13786373485973527</v>
      </c>
      <c r="O24" s="29">
        <f t="shared" si="2"/>
        <v>0.20102615173481375</v>
      </c>
      <c r="P24" s="29">
        <f t="shared" si="8"/>
        <v>0.41352884977955284</v>
      </c>
    </row>
    <row r="25" spans="1:16" ht="11.25">
      <c r="A25" s="23"/>
      <c r="B25" s="15">
        <v>3</v>
      </c>
      <c r="C25" s="23">
        <f t="shared" si="11"/>
        <v>203</v>
      </c>
      <c r="D25" s="24">
        <f>pol!D25</f>
        <v>0.25</v>
      </c>
      <c r="E25" s="25" t="str">
        <f>pol!E25</f>
        <v>40s</v>
      </c>
      <c r="F25" s="26">
        <f>pol!F25*25.4</f>
        <v>13.716</v>
      </c>
      <c r="G25" s="27">
        <f>pol!G25*25.4</f>
        <v>2.2352</v>
      </c>
      <c r="H25" s="25">
        <f t="shared" si="4"/>
        <v>9.2456</v>
      </c>
      <c r="I25" s="27">
        <f t="shared" si="5"/>
        <v>0.8061918675432826</v>
      </c>
      <c r="J25" s="28">
        <f t="shared" si="6"/>
        <v>0.6713671415050206</v>
      </c>
      <c r="K25" s="28">
        <f t="shared" si="7"/>
        <v>0.6328606160214769</v>
      </c>
      <c r="L25" s="28">
        <f t="shared" si="9"/>
        <v>0.06713671415050207</v>
      </c>
      <c r="M25" s="28">
        <f t="shared" si="10"/>
        <v>0.699997330171979</v>
      </c>
      <c r="N25" s="29">
        <f t="shared" si="1"/>
        <v>0.13786373485973527</v>
      </c>
      <c r="O25" s="29">
        <f t="shared" si="2"/>
        <v>0.20102615173481375</v>
      </c>
      <c r="P25" s="29">
        <f t="shared" si="8"/>
        <v>0.41352884977955284</v>
      </c>
    </row>
    <row r="26" spans="1:16" ht="11.25">
      <c r="A26" s="23"/>
      <c r="B26" s="15">
        <v>4</v>
      </c>
      <c r="C26" s="23">
        <f t="shared" si="11"/>
        <v>204</v>
      </c>
      <c r="D26" s="24">
        <f>pol!D26</f>
        <v>0.25</v>
      </c>
      <c r="E26" s="25" t="str">
        <f>pol!E26</f>
        <v>STD</v>
      </c>
      <c r="F26" s="26">
        <f>pol!F26*25.4</f>
        <v>13.716</v>
      </c>
      <c r="G26" s="27">
        <f>pol!G26*25.4</f>
        <v>2.2352</v>
      </c>
      <c r="H26" s="25">
        <f t="shared" si="4"/>
        <v>9.2456</v>
      </c>
      <c r="I26" s="27">
        <f t="shared" si="5"/>
        <v>0.8061918675432826</v>
      </c>
      <c r="J26" s="28">
        <f t="shared" si="6"/>
        <v>0.6713671415050206</v>
      </c>
      <c r="K26" s="28">
        <f t="shared" si="7"/>
        <v>0.6328606160214769</v>
      </c>
      <c r="L26" s="28">
        <f t="shared" si="9"/>
        <v>0.06713671415050207</v>
      </c>
      <c r="M26" s="28">
        <f t="shared" si="10"/>
        <v>0.699997330171979</v>
      </c>
      <c r="N26" s="29">
        <f t="shared" si="1"/>
        <v>0.13786373485973527</v>
      </c>
      <c r="O26" s="29">
        <f t="shared" si="2"/>
        <v>0.20102615173481375</v>
      </c>
      <c r="P26" s="29">
        <f t="shared" si="8"/>
        <v>0.41352884977955284</v>
      </c>
    </row>
    <row r="27" spans="1:16" ht="11.25">
      <c r="A27" s="23"/>
      <c r="B27" s="15">
        <v>5</v>
      </c>
      <c r="C27" s="23">
        <f t="shared" si="11"/>
        <v>205</v>
      </c>
      <c r="D27" s="24">
        <f>pol!D27</f>
        <v>0.25</v>
      </c>
      <c r="E27" s="25">
        <f>pol!E27</f>
        <v>80</v>
      </c>
      <c r="F27" s="26">
        <f>pol!F27*25.4</f>
        <v>13.716</v>
      </c>
      <c r="G27" s="27">
        <f>pol!G27*25.4</f>
        <v>3.0225999999999997</v>
      </c>
      <c r="H27" s="25">
        <f>F27-2*G27</f>
        <v>7.6708</v>
      </c>
      <c r="I27" s="27">
        <f>PI()*(F27^2-H27^2)/400</f>
        <v>1.0154215198122214</v>
      </c>
      <c r="J27" s="28">
        <f>PI()*H27^2/400</f>
        <v>0.4621374892360818</v>
      </c>
      <c r="K27" s="28">
        <f>0.785*I27</f>
        <v>0.7971058930525938</v>
      </c>
      <c r="L27" s="28">
        <f t="shared" si="9"/>
        <v>0.04621374892360818</v>
      </c>
      <c r="M27" s="28">
        <f t="shared" si="10"/>
        <v>0.843319641976202</v>
      </c>
      <c r="N27" s="29">
        <f t="shared" si="1"/>
        <v>0.1567365492158704</v>
      </c>
      <c r="O27" s="29">
        <f t="shared" si="2"/>
        <v>0.2285455660773847</v>
      </c>
      <c r="P27" s="29">
        <f>SQRT(N27/I27)</f>
        <v>0.39288184343387517</v>
      </c>
    </row>
    <row r="28" spans="1:16" ht="11.25">
      <c r="A28" s="23"/>
      <c r="B28" s="15">
        <v>6</v>
      </c>
      <c r="C28" s="23">
        <f t="shared" si="11"/>
        <v>206</v>
      </c>
      <c r="D28" s="24">
        <f>pol!D28</f>
        <v>0.25</v>
      </c>
      <c r="E28" s="25" t="str">
        <f>pol!E28</f>
        <v>80s</v>
      </c>
      <c r="F28" s="26">
        <f>pol!F28*25.4</f>
        <v>13.716</v>
      </c>
      <c r="G28" s="27">
        <f>pol!G28*25.4</f>
        <v>3.0225999999999997</v>
      </c>
      <c r="H28" s="25">
        <f>F28-2*G28</f>
        <v>7.6708</v>
      </c>
      <c r="I28" s="27">
        <f>PI()*(F28^2-H28^2)/400</f>
        <v>1.0154215198122214</v>
      </c>
      <c r="J28" s="28">
        <f>PI()*H28^2/400</f>
        <v>0.4621374892360818</v>
      </c>
      <c r="K28" s="28">
        <f>0.785*I28</f>
        <v>0.7971058930525938</v>
      </c>
      <c r="L28" s="28">
        <f t="shared" si="9"/>
        <v>0.04621374892360818</v>
      </c>
      <c r="M28" s="28">
        <f t="shared" si="10"/>
        <v>0.843319641976202</v>
      </c>
      <c r="N28" s="29">
        <f t="shared" si="1"/>
        <v>0.1567365492158704</v>
      </c>
      <c r="O28" s="29">
        <f t="shared" si="2"/>
        <v>0.2285455660773847</v>
      </c>
      <c r="P28" s="29">
        <f>SQRT(N28/I28)</f>
        <v>0.39288184343387517</v>
      </c>
    </row>
    <row r="29" spans="1:16" ht="11.25">
      <c r="A29" s="23"/>
      <c r="B29" s="15">
        <v>7</v>
      </c>
      <c r="C29" s="23">
        <f t="shared" si="11"/>
        <v>207</v>
      </c>
      <c r="D29" s="24">
        <f>pol!D29</f>
        <v>0.25</v>
      </c>
      <c r="E29" s="25" t="str">
        <f>pol!E29</f>
        <v>XS</v>
      </c>
      <c r="F29" s="26">
        <f>pol!F29*25.4</f>
        <v>13.716</v>
      </c>
      <c r="G29" s="27">
        <f>pol!G29*25.4</f>
        <v>3.0225999999999997</v>
      </c>
      <c r="H29" s="25">
        <f>F29-2*G29</f>
        <v>7.6708</v>
      </c>
      <c r="I29" s="27">
        <f>PI()*(F29^2-H29^2)/400</f>
        <v>1.0154215198122214</v>
      </c>
      <c r="J29" s="28">
        <f>PI()*H29^2/400</f>
        <v>0.4621374892360818</v>
      </c>
      <c r="K29" s="28">
        <f>0.785*I29</f>
        <v>0.7971058930525938</v>
      </c>
      <c r="L29" s="28">
        <f t="shared" si="9"/>
        <v>0.04621374892360818</v>
      </c>
      <c r="M29" s="28">
        <f t="shared" si="10"/>
        <v>0.843319641976202</v>
      </c>
      <c r="N29" s="29">
        <f t="shared" si="1"/>
        <v>0.1567365492158704</v>
      </c>
      <c r="O29" s="29">
        <f t="shared" si="2"/>
        <v>0.2285455660773847</v>
      </c>
      <c r="P29" s="29">
        <f>SQRT(N29/I29)</f>
        <v>0.39288184343387517</v>
      </c>
    </row>
    <row r="30" spans="1:16" ht="11.25" customHeight="1" hidden="1">
      <c r="A30" s="23"/>
      <c r="B30" s="15">
        <v>8</v>
      </c>
      <c r="C30" s="23">
        <f t="shared" si="11"/>
        <v>208</v>
      </c>
      <c r="D30" s="24"/>
      <c r="E30" s="25"/>
      <c r="F30" s="26"/>
      <c r="G30" s="27"/>
      <c r="H30" s="25"/>
      <c r="I30" s="27"/>
      <c r="J30" s="28"/>
      <c r="K30" s="28"/>
      <c r="L30" s="28">
        <f t="shared" si="9"/>
        <v>0</v>
      </c>
      <c r="M30" s="28"/>
      <c r="N30" s="29"/>
      <c r="O30" s="29"/>
      <c r="P30" s="29"/>
    </row>
    <row r="31" spans="1:16" ht="11.25" customHeight="1" hidden="1">
      <c r="A31" s="23"/>
      <c r="B31" s="15">
        <v>9</v>
      </c>
      <c r="C31" s="23">
        <f t="shared" si="11"/>
        <v>209</v>
      </c>
      <c r="D31" s="24"/>
      <c r="E31" s="25"/>
      <c r="F31" s="26"/>
      <c r="G31" s="27"/>
      <c r="H31" s="25"/>
      <c r="I31" s="27"/>
      <c r="J31" s="28"/>
      <c r="K31" s="28"/>
      <c r="L31" s="28">
        <f t="shared" si="9"/>
        <v>0</v>
      </c>
      <c r="M31" s="28"/>
      <c r="N31" s="29"/>
      <c r="O31" s="29"/>
      <c r="P31" s="29"/>
    </row>
    <row r="32" spans="1:16" ht="11.25" customHeight="1" hidden="1">
      <c r="A32" s="23"/>
      <c r="B32" s="15">
        <v>10</v>
      </c>
      <c r="C32" s="23">
        <f t="shared" si="11"/>
        <v>210</v>
      </c>
      <c r="D32" s="24"/>
      <c r="E32" s="25"/>
      <c r="F32" s="26"/>
      <c r="G32" s="27"/>
      <c r="H32" s="25"/>
      <c r="I32" s="27"/>
      <c r="J32" s="28"/>
      <c r="K32" s="28"/>
      <c r="L32" s="28">
        <f t="shared" si="9"/>
        <v>0</v>
      </c>
      <c r="M32" s="28"/>
      <c r="N32" s="29"/>
      <c r="O32" s="29"/>
      <c r="P32" s="29"/>
    </row>
    <row r="33" spans="1:16" ht="11.25" customHeight="1" hidden="1">
      <c r="A33" s="23"/>
      <c r="B33" s="15">
        <v>11</v>
      </c>
      <c r="C33" s="23">
        <f t="shared" si="11"/>
        <v>211</v>
      </c>
      <c r="D33" s="24"/>
      <c r="E33" s="25"/>
      <c r="F33" s="26"/>
      <c r="G33" s="27"/>
      <c r="H33" s="25"/>
      <c r="I33" s="27"/>
      <c r="J33" s="28"/>
      <c r="K33" s="28"/>
      <c r="L33" s="28">
        <f t="shared" si="9"/>
        <v>0</v>
      </c>
      <c r="M33" s="28"/>
      <c r="N33" s="29"/>
      <c r="O33" s="29"/>
      <c r="P33" s="29"/>
    </row>
    <row r="34" spans="1:16" ht="11.25" customHeight="1" hidden="1">
      <c r="A34" s="23"/>
      <c r="B34" s="15">
        <v>12</v>
      </c>
      <c r="C34" s="23">
        <f t="shared" si="11"/>
        <v>212</v>
      </c>
      <c r="D34" s="24"/>
      <c r="E34" s="25"/>
      <c r="F34" s="26"/>
      <c r="G34" s="27"/>
      <c r="H34" s="25"/>
      <c r="I34" s="27"/>
      <c r="J34" s="28"/>
      <c r="K34" s="28"/>
      <c r="L34" s="28">
        <f t="shared" si="9"/>
        <v>0</v>
      </c>
      <c r="M34" s="28"/>
      <c r="N34" s="29"/>
      <c r="O34" s="29"/>
      <c r="P34" s="29"/>
    </row>
    <row r="35" spans="1:16" ht="11.25" customHeight="1" hidden="1">
      <c r="A35" s="23"/>
      <c r="B35" s="15">
        <v>13</v>
      </c>
      <c r="C35" s="23">
        <f t="shared" si="11"/>
        <v>213</v>
      </c>
      <c r="D35" s="24"/>
      <c r="E35" s="25"/>
      <c r="F35" s="26"/>
      <c r="G35" s="27"/>
      <c r="H35" s="25"/>
      <c r="I35" s="27"/>
      <c r="J35" s="28"/>
      <c r="K35" s="28"/>
      <c r="L35" s="28">
        <f t="shared" si="9"/>
        <v>0</v>
      </c>
      <c r="M35" s="28"/>
      <c r="N35" s="29"/>
      <c r="O35" s="29"/>
      <c r="P35" s="29"/>
    </row>
    <row r="36" spans="1:16" ht="11.25" customHeight="1" hidden="1">
      <c r="A36" s="23"/>
      <c r="B36" s="15">
        <v>14</v>
      </c>
      <c r="C36" s="23">
        <f t="shared" si="11"/>
        <v>214</v>
      </c>
      <c r="D36" s="24"/>
      <c r="E36" s="25"/>
      <c r="F36" s="26"/>
      <c r="G36" s="27"/>
      <c r="H36" s="25"/>
      <c r="I36" s="27"/>
      <c r="J36" s="28"/>
      <c r="K36" s="28"/>
      <c r="L36" s="28">
        <f t="shared" si="9"/>
        <v>0</v>
      </c>
      <c r="M36" s="28"/>
      <c r="N36" s="29"/>
      <c r="O36" s="29"/>
      <c r="P36" s="29"/>
    </row>
    <row r="37" spans="1:16" ht="11.25" customHeight="1" hidden="1">
      <c r="A37" s="23"/>
      <c r="B37" s="15">
        <v>15</v>
      </c>
      <c r="C37" s="23">
        <f t="shared" si="11"/>
        <v>215</v>
      </c>
      <c r="D37" s="24"/>
      <c r="E37" s="25"/>
      <c r="F37" s="26"/>
      <c r="G37" s="27"/>
      <c r="H37" s="25"/>
      <c r="I37" s="27"/>
      <c r="J37" s="28"/>
      <c r="K37" s="28"/>
      <c r="L37" s="28">
        <f t="shared" si="9"/>
        <v>0</v>
      </c>
      <c r="M37" s="28"/>
      <c r="N37" s="29"/>
      <c r="O37" s="29"/>
      <c r="P37" s="29"/>
    </row>
    <row r="38" spans="1:16" ht="11.25" customHeight="1" hidden="1">
      <c r="A38" s="23"/>
      <c r="B38" s="15">
        <v>16</v>
      </c>
      <c r="C38" s="23">
        <f t="shared" si="11"/>
        <v>216</v>
      </c>
      <c r="D38" s="24"/>
      <c r="E38" s="25"/>
      <c r="F38" s="26"/>
      <c r="G38" s="27"/>
      <c r="H38" s="25"/>
      <c r="I38" s="27"/>
      <c r="J38" s="28"/>
      <c r="K38" s="28"/>
      <c r="L38" s="28">
        <f t="shared" si="9"/>
        <v>0</v>
      </c>
      <c r="M38" s="28"/>
      <c r="N38" s="29"/>
      <c r="O38" s="29"/>
      <c r="P38" s="29"/>
    </row>
    <row r="39" spans="1:16" ht="11.25">
      <c r="A39" s="23">
        <v>3</v>
      </c>
      <c r="B39" s="15">
        <v>1</v>
      </c>
      <c r="C39" s="23">
        <f>$A$39*100+B39</f>
        <v>301</v>
      </c>
      <c r="D39" s="24">
        <f>pol!D39</f>
        <v>0.375</v>
      </c>
      <c r="E39" s="25" t="str">
        <f>pol!E39</f>
        <v>10s</v>
      </c>
      <c r="F39" s="26">
        <f>pol!F39*25.4</f>
        <v>17.145</v>
      </c>
      <c r="G39" s="27">
        <f>pol!G39*25.4</f>
        <v>1.651</v>
      </c>
      <c r="H39" s="25">
        <f aca="true" t="shared" si="12" ref="H39:H45">F39-2*G39</f>
        <v>13.843</v>
      </c>
      <c r="I39" s="27">
        <f aca="true" t="shared" si="13" ref="I39:I45">PI()*(F39^2-H39^2)/400</f>
        <v>0.8036380618486311</v>
      </c>
      <c r="J39" s="28">
        <f aca="true" t="shared" si="14" ref="J39:J45">PI()*H39^2/400</f>
        <v>1.5050478897893427</v>
      </c>
      <c r="K39" s="28">
        <f aca="true" t="shared" si="15" ref="K39:K45">0.785*I39</f>
        <v>0.6308558785511754</v>
      </c>
      <c r="L39" s="28">
        <f t="shared" si="9"/>
        <v>0.15050478897893427</v>
      </c>
      <c r="M39" s="28">
        <f aca="true" t="shared" si="16" ref="M39:M45">L39+K39</f>
        <v>0.7813606675301097</v>
      </c>
      <c r="N39" s="29">
        <f t="shared" si="1"/>
        <v>0.24389394255403132</v>
      </c>
      <c r="O39" s="29">
        <f t="shared" si="2"/>
        <v>0.2845073695585084</v>
      </c>
      <c r="P39" s="29">
        <f aca="true" t="shared" si="17" ref="P39:P45">SQRT(N39/I39)</f>
        <v>0.5508968108911142</v>
      </c>
    </row>
    <row r="40" spans="1:16" ht="11.25">
      <c r="A40" s="23"/>
      <c r="B40" s="15">
        <v>2</v>
      </c>
      <c r="C40" s="23">
        <f aca="true" t="shared" si="18" ref="C40:C54">$A$39*100+B40</f>
        <v>302</v>
      </c>
      <c r="D40" s="24">
        <f>pol!D40</f>
        <v>0.375</v>
      </c>
      <c r="E40" s="25">
        <f>pol!E40</f>
        <v>40</v>
      </c>
      <c r="F40" s="26">
        <f>pol!F40*25.4</f>
        <v>17.145</v>
      </c>
      <c r="G40" s="27">
        <f>pol!G40*25.4</f>
        <v>2.3114</v>
      </c>
      <c r="H40" s="25">
        <f t="shared" si="12"/>
        <v>12.5222</v>
      </c>
      <c r="I40" s="27">
        <f t="shared" si="13"/>
        <v>1.0771384907662964</v>
      </c>
      <c r="J40" s="28">
        <f t="shared" si="14"/>
        <v>1.2315474608716772</v>
      </c>
      <c r="K40" s="28">
        <f t="shared" si="15"/>
        <v>0.8455537152515428</v>
      </c>
      <c r="L40" s="28">
        <f t="shared" si="9"/>
        <v>0.12315474608716773</v>
      </c>
      <c r="M40" s="28">
        <f t="shared" si="16"/>
        <v>0.9687084613387105</v>
      </c>
      <c r="N40" s="29">
        <f t="shared" si="1"/>
        <v>0.30345449708078054</v>
      </c>
      <c r="O40" s="29">
        <f t="shared" si="2"/>
        <v>0.35398599834445094</v>
      </c>
      <c r="P40" s="29">
        <f t="shared" si="17"/>
        <v>0.530775681102667</v>
      </c>
    </row>
    <row r="41" spans="1:16" ht="11.25">
      <c r="A41" s="23"/>
      <c r="B41" s="15">
        <v>3</v>
      </c>
      <c r="C41" s="23">
        <f t="shared" si="18"/>
        <v>303</v>
      </c>
      <c r="D41" s="24">
        <f>pol!D41</f>
        <v>0.375</v>
      </c>
      <c r="E41" s="25" t="str">
        <f>pol!E41</f>
        <v>40s</v>
      </c>
      <c r="F41" s="26">
        <f>pol!F41*25.4</f>
        <v>17.145</v>
      </c>
      <c r="G41" s="27">
        <f>pol!G41*25.4</f>
        <v>2.3114</v>
      </c>
      <c r="H41" s="25">
        <f t="shared" si="12"/>
        <v>12.5222</v>
      </c>
      <c r="I41" s="27">
        <f t="shared" si="13"/>
        <v>1.0771384907662964</v>
      </c>
      <c r="J41" s="28">
        <f t="shared" si="14"/>
        <v>1.2315474608716772</v>
      </c>
      <c r="K41" s="28">
        <f t="shared" si="15"/>
        <v>0.8455537152515428</v>
      </c>
      <c r="L41" s="28">
        <f t="shared" si="9"/>
        <v>0.12315474608716773</v>
      </c>
      <c r="M41" s="28">
        <f t="shared" si="16"/>
        <v>0.9687084613387105</v>
      </c>
      <c r="N41" s="29">
        <f t="shared" si="1"/>
        <v>0.30345449708078054</v>
      </c>
      <c r="O41" s="29">
        <f t="shared" si="2"/>
        <v>0.35398599834445094</v>
      </c>
      <c r="P41" s="29">
        <f t="shared" si="17"/>
        <v>0.530775681102667</v>
      </c>
    </row>
    <row r="42" spans="1:16" ht="11.25">
      <c r="A42" s="23"/>
      <c r="B42" s="15">
        <v>4</v>
      </c>
      <c r="C42" s="23">
        <f t="shared" si="18"/>
        <v>304</v>
      </c>
      <c r="D42" s="24">
        <f>pol!D42</f>
        <v>0.375</v>
      </c>
      <c r="E42" s="25" t="str">
        <f>pol!E42</f>
        <v>STD</v>
      </c>
      <c r="F42" s="26">
        <f>pol!F42*25.4</f>
        <v>17.145</v>
      </c>
      <c r="G42" s="27">
        <f>pol!G42*25.4</f>
        <v>2.3114</v>
      </c>
      <c r="H42" s="25">
        <f t="shared" si="12"/>
        <v>12.5222</v>
      </c>
      <c r="I42" s="27">
        <f t="shared" si="13"/>
        <v>1.0771384907662964</v>
      </c>
      <c r="J42" s="28">
        <f t="shared" si="14"/>
        <v>1.2315474608716772</v>
      </c>
      <c r="K42" s="28">
        <f t="shared" si="15"/>
        <v>0.8455537152515428</v>
      </c>
      <c r="L42" s="28">
        <f t="shared" si="9"/>
        <v>0.12315474608716773</v>
      </c>
      <c r="M42" s="28">
        <f t="shared" si="16"/>
        <v>0.9687084613387105</v>
      </c>
      <c r="N42" s="29">
        <f t="shared" si="1"/>
        <v>0.30345449708078054</v>
      </c>
      <c r="O42" s="29">
        <f t="shared" si="2"/>
        <v>0.35398599834445094</v>
      </c>
      <c r="P42" s="29">
        <f t="shared" si="17"/>
        <v>0.530775681102667</v>
      </c>
    </row>
    <row r="43" spans="1:16" ht="11.25">
      <c r="A43" s="23"/>
      <c r="B43" s="15">
        <v>5</v>
      </c>
      <c r="C43" s="23">
        <f t="shared" si="18"/>
        <v>305</v>
      </c>
      <c r="D43" s="24">
        <f>pol!D43</f>
        <v>0.375</v>
      </c>
      <c r="E43" s="25">
        <f>pol!E43</f>
        <v>80</v>
      </c>
      <c r="F43" s="26">
        <f>pol!F43*25.4</f>
        <v>17.145</v>
      </c>
      <c r="G43" s="27">
        <f>pol!G43*25.4</f>
        <v>3.2003999999999997</v>
      </c>
      <c r="H43" s="25">
        <f t="shared" si="12"/>
        <v>10.7442</v>
      </c>
      <c r="I43" s="27">
        <f t="shared" si="13"/>
        <v>1.402039326363612</v>
      </c>
      <c r="J43" s="28">
        <f t="shared" si="14"/>
        <v>0.9066466252743615</v>
      </c>
      <c r="K43" s="28">
        <f t="shared" si="15"/>
        <v>1.1006008711954354</v>
      </c>
      <c r="L43" s="28">
        <f t="shared" si="9"/>
        <v>0.09066466252743616</v>
      </c>
      <c r="M43" s="28">
        <f t="shared" si="16"/>
        <v>1.1912655337228715</v>
      </c>
      <c r="N43" s="29">
        <f t="shared" si="1"/>
        <v>0.35873704974274606</v>
      </c>
      <c r="O43" s="29">
        <f t="shared" si="2"/>
        <v>0.41847424875210976</v>
      </c>
      <c r="P43" s="29">
        <f t="shared" si="17"/>
        <v>0.5058340010813825</v>
      </c>
    </row>
    <row r="44" spans="1:16" ht="11.25">
      <c r="A44" s="23"/>
      <c r="B44" s="15">
        <v>6</v>
      </c>
      <c r="C44" s="23">
        <f t="shared" si="18"/>
        <v>306</v>
      </c>
      <c r="D44" s="24">
        <f>pol!D44</f>
        <v>0.375</v>
      </c>
      <c r="E44" s="25" t="str">
        <f>pol!E44</f>
        <v>80s</v>
      </c>
      <c r="F44" s="26">
        <f>pol!F44*25.4</f>
        <v>17.145</v>
      </c>
      <c r="G44" s="27">
        <f>pol!G44*25.4</f>
        <v>3.2003999999999997</v>
      </c>
      <c r="H44" s="25">
        <f t="shared" si="12"/>
        <v>10.7442</v>
      </c>
      <c r="I44" s="27">
        <f t="shared" si="13"/>
        <v>1.402039326363612</v>
      </c>
      <c r="J44" s="28">
        <f t="shared" si="14"/>
        <v>0.9066466252743615</v>
      </c>
      <c r="K44" s="28">
        <f t="shared" si="15"/>
        <v>1.1006008711954354</v>
      </c>
      <c r="L44" s="28">
        <f t="shared" si="9"/>
        <v>0.09066466252743616</v>
      </c>
      <c r="M44" s="28">
        <f t="shared" si="16"/>
        <v>1.1912655337228715</v>
      </c>
      <c r="N44" s="29">
        <f t="shared" si="1"/>
        <v>0.35873704974274606</v>
      </c>
      <c r="O44" s="29">
        <f t="shared" si="2"/>
        <v>0.41847424875210976</v>
      </c>
      <c r="P44" s="29">
        <f t="shared" si="17"/>
        <v>0.5058340010813825</v>
      </c>
    </row>
    <row r="45" spans="1:16" ht="11.25">
      <c r="A45" s="23"/>
      <c r="B45" s="15">
        <v>7</v>
      </c>
      <c r="C45" s="23">
        <f t="shared" si="18"/>
        <v>307</v>
      </c>
      <c r="D45" s="24">
        <f>pol!D45</f>
        <v>0.375</v>
      </c>
      <c r="E45" s="25" t="str">
        <f>pol!E45</f>
        <v>XS</v>
      </c>
      <c r="F45" s="26">
        <f>pol!F45*25.4</f>
        <v>17.145</v>
      </c>
      <c r="G45" s="27">
        <f>pol!G45*25.4</f>
        <v>3.2003999999999997</v>
      </c>
      <c r="H45" s="25">
        <f t="shared" si="12"/>
        <v>10.7442</v>
      </c>
      <c r="I45" s="27">
        <f t="shared" si="13"/>
        <v>1.402039326363612</v>
      </c>
      <c r="J45" s="28">
        <f t="shared" si="14"/>
        <v>0.9066466252743615</v>
      </c>
      <c r="K45" s="28">
        <f t="shared" si="15"/>
        <v>1.1006008711954354</v>
      </c>
      <c r="L45" s="28">
        <f t="shared" si="9"/>
        <v>0.09066466252743616</v>
      </c>
      <c r="M45" s="28">
        <f t="shared" si="16"/>
        <v>1.1912655337228715</v>
      </c>
      <c r="N45" s="29">
        <f t="shared" si="1"/>
        <v>0.35873704974274606</v>
      </c>
      <c r="O45" s="29">
        <f t="shared" si="2"/>
        <v>0.41847424875210976</v>
      </c>
      <c r="P45" s="29">
        <f t="shared" si="17"/>
        <v>0.5058340010813825</v>
      </c>
    </row>
    <row r="46" spans="1:16" ht="11.25" customHeight="1" hidden="1">
      <c r="A46" s="23"/>
      <c r="B46" s="15">
        <v>8</v>
      </c>
      <c r="C46" s="23">
        <f t="shared" si="18"/>
        <v>308</v>
      </c>
      <c r="D46" s="24"/>
      <c r="E46" s="25"/>
      <c r="F46" s="26"/>
      <c r="G46" s="27"/>
      <c r="H46" s="25"/>
      <c r="I46" s="27"/>
      <c r="J46" s="28"/>
      <c r="K46" s="28"/>
      <c r="L46" s="28"/>
      <c r="M46" s="28"/>
      <c r="N46" s="29"/>
      <c r="O46" s="29"/>
      <c r="P46" s="29"/>
    </row>
    <row r="47" spans="1:16" ht="11.25" customHeight="1" hidden="1">
      <c r="A47" s="23"/>
      <c r="B47" s="15">
        <v>9</v>
      </c>
      <c r="C47" s="23">
        <f t="shared" si="18"/>
        <v>309</v>
      </c>
      <c r="D47" s="24"/>
      <c r="E47" s="25"/>
      <c r="F47" s="26"/>
      <c r="G47" s="27"/>
      <c r="H47" s="25"/>
      <c r="I47" s="27"/>
      <c r="J47" s="28"/>
      <c r="K47" s="28"/>
      <c r="L47" s="28"/>
      <c r="M47" s="28"/>
      <c r="N47" s="29"/>
      <c r="O47" s="29"/>
      <c r="P47" s="29"/>
    </row>
    <row r="48" spans="1:16" ht="11.25" customHeight="1" hidden="1">
      <c r="A48" s="23"/>
      <c r="B48" s="15">
        <v>10</v>
      </c>
      <c r="C48" s="23">
        <f t="shared" si="18"/>
        <v>310</v>
      </c>
      <c r="D48" s="24"/>
      <c r="E48" s="25"/>
      <c r="F48" s="26"/>
      <c r="G48" s="27"/>
      <c r="H48" s="25"/>
      <c r="I48" s="27"/>
      <c r="J48" s="28"/>
      <c r="K48" s="28"/>
      <c r="L48" s="28"/>
      <c r="M48" s="28"/>
      <c r="N48" s="29"/>
      <c r="O48" s="29"/>
      <c r="P48" s="29"/>
    </row>
    <row r="49" spans="1:16" ht="11.25" customHeight="1" hidden="1">
      <c r="A49" s="23"/>
      <c r="B49" s="15">
        <v>11</v>
      </c>
      <c r="C49" s="23">
        <f t="shared" si="18"/>
        <v>311</v>
      </c>
      <c r="D49" s="24"/>
      <c r="E49" s="25"/>
      <c r="F49" s="26"/>
      <c r="G49" s="27"/>
      <c r="H49" s="25"/>
      <c r="I49" s="27"/>
      <c r="J49" s="28"/>
      <c r="K49" s="28"/>
      <c r="L49" s="28"/>
      <c r="M49" s="28"/>
      <c r="N49" s="29"/>
      <c r="O49" s="29"/>
      <c r="P49" s="29"/>
    </row>
    <row r="50" spans="1:16" ht="11.25" customHeight="1" hidden="1">
      <c r="A50" s="23"/>
      <c r="B50" s="15">
        <v>12</v>
      </c>
      <c r="C50" s="23">
        <f t="shared" si="18"/>
        <v>312</v>
      </c>
      <c r="D50" s="24"/>
      <c r="E50" s="25"/>
      <c r="F50" s="26"/>
      <c r="G50" s="27"/>
      <c r="H50" s="25"/>
      <c r="I50" s="27"/>
      <c r="J50" s="28"/>
      <c r="K50" s="28"/>
      <c r="L50" s="28"/>
      <c r="M50" s="28"/>
      <c r="N50" s="29"/>
      <c r="O50" s="29"/>
      <c r="P50" s="29"/>
    </row>
    <row r="51" spans="1:16" ht="11.25" customHeight="1" hidden="1">
      <c r="A51" s="23"/>
      <c r="B51" s="15">
        <v>13</v>
      </c>
      <c r="C51" s="23">
        <f t="shared" si="18"/>
        <v>313</v>
      </c>
      <c r="D51" s="24"/>
      <c r="E51" s="25"/>
      <c r="F51" s="26"/>
      <c r="G51" s="27"/>
      <c r="H51" s="25"/>
      <c r="I51" s="27"/>
      <c r="J51" s="28"/>
      <c r="K51" s="28"/>
      <c r="L51" s="28"/>
      <c r="M51" s="28"/>
      <c r="N51" s="29"/>
      <c r="O51" s="29"/>
      <c r="P51" s="29"/>
    </row>
    <row r="52" spans="1:16" ht="11.25" customHeight="1" hidden="1">
      <c r="A52" s="23"/>
      <c r="B52" s="15">
        <v>14</v>
      </c>
      <c r="C52" s="23">
        <f t="shared" si="18"/>
        <v>314</v>
      </c>
      <c r="D52" s="24"/>
      <c r="E52" s="25"/>
      <c r="F52" s="26"/>
      <c r="G52" s="27"/>
      <c r="H52" s="25"/>
      <c r="I52" s="27"/>
      <c r="J52" s="28"/>
      <c r="K52" s="28"/>
      <c r="L52" s="28"/>
      <c r="M52" s="28"/>
      <c r="N52" s="29"/>
      <c r="O52" s="29"/>
      <c r="P52" s="29"/>
    </row>
    <row r="53" spans="1:16" ht="11.25" customHeight="1" hidden="1">
      <c r="A53" s="23"/>
      <c r="B53" s="15">
        <v>15</v>
      </c>
      <c r="C53" s="23">
        <f t="shared" si="18"/>
        <v>315</v>
      </c>
      <c r="D53" s="24"/>
      <c r="E53" s="25"/>
      <c r="F53" s="26"/>
      <c r="G53" s="27"/>
      <c r="H53" s="25"/>
      <c r="I53" s="27"/>
      <c r="J53" s="28"/>
      <c r="K53" s="28"/>
      <c r="L53" s="28"/>
      <c r="M53" s="28"/>
      <c r="N53" s="29"/>
      <c r="O53" s="29"/>
      <c r="P53" s="29"/>
    </row>
    <row r="54" spans="1:16" ht="11.25" customHeight="1" hidden="1">
      <c r="A54" s="23"/>
      <c r="B54" s="15">
        <v>16</v>
      </c>
      <c r="C54" s="23">
        <f t="shared" si="18"/>
        <v>316</v>
      </c>
      <c r="D54" s="24"/>
      <c r="E54" s="25"/>
      <c r="F54" s="26"/>
      <c r="G54" s="27"/>
      <c r="H54" s="25"/>
      <c r="I54" s="27"/>
      <c r="J54" s="28"/>
      <c r="K54" s="28"/>
      <c r="L54" s="28"/>
      <c r="M54" s="28"/>
      <c r="N54" s="29"/>
      <c r="O54" s="29"/>
      <c r="P54" s="29"/>
    </row>
    <row r="55" spans="1:16" ht="11.25">
      <c r="A55" s="23">
        <v>4</v>
      </c>
      <c r="B55" s="15">
        <v>1</v>
      </c>
      <c r="C55" s="23">
        <f>$A$55*100+B55</f>
        <v>401</v>
      </c>
      <c r="D55" s="24">
        <f>pol!D55</f>
        <v>0.5</v>
      </c>
      <c r="E55" s="25" t="str">
        <f>pol!E55</f>
        <v>10s</v>
      </c>
      <c r="F55" s="26">
        <f>pol!F55*25.4</f>
        <v>21.336</v>
      </c>
      <c r="G55" s="27">
        <f>pol!G55*25.4</f>
        <v>2.1082</v>
      </c>
      <c r="H55" s="25">
        <f>F55-2*G55</f>
        <v>17.1196</v>
      </c>
      <c r="I55" s="27">
        <f>PI()*(F55^2-H55^2)/400</f>
        <v>1.2734775047669953</v>
      </c>
      <c r="J55" s="28">
        <f>PI()*H55^2/400</f>
        <v>2.301850467744948</v>
      </c>
      <c r="K55" s="28">
        <f>0.785*I55</f>
        <v>0.9996798412420913</v>
      </c>
      <c r="L55" s="28">
        <f t="shared" si="9"/>
        <v>0.2301850467744948</v>
      </c>
      <c r="M55" s="28">
        <f aca="true" t="shared" si="19" ref="M55:M63">L55+K55</f>
        <v>1.229864888016586</v>
      </c>
      <c r="N55" s="29">
        <f t="shared" si="1"/>
        <v>0.5955939678093286</v>
      </c>
      <c r="O55" s="29">
        <f t="shared" si="2"/>
        <v>0.5582995573765736</v>
      </c>
      <c r="P55" s="29">
        <f>SQRT(N55/I55)</f>
        <v>0.6838793754018321</v>
      </c>
    </row>
    <row r="56" spans="1:16" ht="11.25">
      <c r="A56" s="23"/>
      <c r="B56" s="15">
        <v>2</v>
      </c>
      <c r="C56" s="23">
        <f aca="true" t="shared" si="20" ref="C56:C70">$A$55*100+B56</f>
        <v>402</v>
      </c>
      <c r="D56" s="24">
        <f>pol!D56</f>
        <v>0.5</v>
      </c>
      <c r="E56" s="25">
        <f>pol!E56</f>
        <v>40</v>
      </c>
      <c r="F56" s="26">
        <f>pol!F56*25.4</f>
        <v>21.336</v>
      </c>
      <c r="G56" s="27">
        <f>pol!G56*25.4</f>
        <v>2.7685999999999997</v>
      </c>
      <c r="H56" s="25">
        <f aca="true" t="shared" si="21" ref="H56:H76">F56-2*G56</f>
        <v>15.7988</v>
      </c>
      <c r="I56" s="27">
        <f aca="true" t="shared" si="22" ref="I56:I76">PI()*(F56^2-H56^2)/400</f>
        <v>1.6149578090803802</v>
      </c>
      <c r="J56" s="28">
        <f aca="true" t="shared" si="23" ref="J56:J76">PI()*H56^2/400</f>
        <v>1.9603701634315633</v>
      </c>
      <c r="K56" s="28">
        <f aca="true" t="shared" si="24" ref="K56:K76">0.785*I56</f>
        <v>1.2677418801280986</v>
      </c>
      <c r="L56" s="28">
        <f t="shared" si="9"/>
        <v>0.19603701634315635</v>
      </c>
      <c r="M56" s="28">
        <f t="shared" si="19"/>
        <v>1.463778896471255</v>
      </c>
      <c r="N56" s="29">
        <f t="shared" si="1"/>
        <v>0.7114161445420308</v>
      </c>
      <c r="O56" s="29">
        <f t="shared" si="2"/>
        <v>0.6668692768485479</v>
      </c>
      <c r="P56" s="29">
        <f aca="true" t="shared" si="25" ref="P56:P76">SQRT(N56/I56)</f>
        <v>0.6637144422867414</v>
      </c>
    </row>
    <row r="57" spans="1:16" ht="11.25">
      <c r="A57" s="23"/>
      <c r="B57" s="15">
        <v>3</v>
      </c>
      <c r="C57" s="23">
        <f t="shared" si="20"/>
        <v>403</v>
      </c>
      <c r="D57" s="24">
        <f>pol!D57</f>
        <v>0.5</v>
      </c>
      <c r="E57" s="25" t="str">
        <f>pol!E57</f>
        <v>40s</v>
      </c>
      <c r="F57" s="26">
        <f>pol!F57*25.4</f>
        <v>21.336</v>
      </c>
      <c r="G57" s="27">
        <f>pol!G57*25.4</f>
        <v>2.7685999999999997</v>
      </c>
      <c r="H57" s="25">
        <f t="shared" si="21"/>
        <v>15.7988</v>
      </c>
      <c r="I57" s="27">
        <f t="shared" si="22"/>
        <v>1.6149578090803802</v>
      </c>
      <c r="J57" s="28">
        <f t="shared" si="23"/>
        <v>1.9603701634315633</v>
      </c>
      <c r="K57" s="28">
        <f t="shared" si="24"/>
        <v>1.2677418801280986</v>
      </c>
      <c r="L57" s="28">
        <f t="shared" si="9"/>
        <v>0.19603701634315635</v>
      </c>
      <c r="M57" s="28">
        <f t="shared" si="19"/>
        <v>1.463778896471255</v>
      </c>
      <c r="N57" s="29">
        <f t="shared" si="1"/>
        <v>0.7114161445420308</v>
      </c>
      <c r="O57" s="29">
        <f t="shared" si="2"/>
        <v>0.6668692768485479</v>
      </c>
      <c r="P57" s="29">
        <f t="shared" si="25"/>
        <v>0.6637144422867414</v>
      </c>
    </row>
    <row r="58" spans="1:16" ht="11.25">
      <c r="A58" s="23"/>
      <c r="B58" s="15">
        <v>4</v>
      </c>
      <c r="C58" s="23">
        <f t="shared" si="20"/>
        <v>404</v>
      </c>
      <c r="D58" s="24">
        <f>pol!D58</f>
        <v>0.5</v>
      </c>
      <c r="E58" s="25" t="str">
        <f>pol!E58</f>
        <v>STD</v>
      </c>
      <c r="F58" s="26">
        <f>pol!F58*25.4</f>
        <v>21.336</v>
      </c>
      <c r="G58" s="27">
        <f>pol!G58*25.4</f>
        <v>2.7685999999999997</v>
      </c>
      <c r="H58" s="25">
        <f t="shared" si="21"/>
        <v>15.7988</v>
      </c>
      <c r="I58" s="27">
        <f t="shared" si="22"/>
        <v>1.6149578090803802</v>
      </c>
      <c r="J58" s="28">
        <f t="shared" si="23"/>
        <v>1.9603701634315633</v>
      </c>
      <c r="K58" s="28">
        <f t="shared" si="24"/>
        <v>1.2677418801280986</v>
      </c>
      <c r="L58" s="28">
        <f t="shared" si="9"/>
        <v>0.19603701634315635</v>
      </c>
      <c r="M58" s="28">
        <f t="shared" si="19"/>
        <v>1.463778896471255</v>
      </c>
      <c r="N58" s="29">
        <f t="shared" si="1"/>
        <v>0.7114161445420308</v>
      </c>
      <c r="O58" s="29">
        <f t="shared" si="2"/>
        <v>0.6668692768485479</v>
      </c>
      <c r="P58" s="29">
        <f t="shared" si="25"/>
        <v>0.6637144422867414</v>
      </c>
    </row>
    <row r="59" spans="1:16" ht="11.25">
      <c r="A59" s="23"/>
      <c r="B59" s="15">
        <v>5</v>
      </c>
      <c r="C59" s="23">
        <f t="shared" si="20"/>
        <v>405</v>
      </c>
      <c r="D59" s="24">
        <f>pol!D59</f>
        <v>0.5</v>
      </c>
      <c r="E59" s="25">
        <f>pol!E59</f>
        <v>80</v>
      </c>
      <c r="F59" s="26">
        <f>pol!F59*25.4</f>
        <v>21.336</v>
      </c>
      <c r="G59" s="27">
        <f>pol!G59*25.4</f>
        <v>3.7337999999999996</v>
      </c>
      <c r="H59" s="25">
        <f t="shared" si="21"/>
        <v>13.8684</v>
      </c>
      <c r="I59" s="27">
        <f t="shared" si="22"/>
        <v>2.0647519041256475</v>
      </c>
      <c r="J59" s="28">
        <f t="shared" si="23"/>
        <v>1.5105760683862963</v>
      </c>
      <c r="K59" s="28">
        <f t="shared" si="24"/>
        <v>1.6208302447386334</v>
      </c>
      <c r="L59" s="28">
        <f t="shared" si="9"/>
        <v>0.15105760683862965</v>
      </c>
      <c r="M59" s="28">
        <f t="shared" si="19"/>
        <v>1.771887851577263</v>
      </c>
      <c r="N59" s="29">
        <f t="shared" si="1"/>
        <v>0.8356533779646509</v>
      </c>
      <c r="O59" s="29">
        <f t="shared" si="2"/>
        <v>0.7833271259511163</v>
      </c>
      <c r="P59" s="29">
        <f t="shared" si="25"/>
        <v>0.6361787359696959</v>
      </c>
    </row>
    <row r="60" spans="1:16" ht="11.25">
      <c r="A60" s="23"/>
      <c r="B60" s="15">
        <v>6</v>
      </c>
      <c r="C60" s="23">
        <f t="shared" si="20"/>
        <v>406</v>
      </c>
      <c r="D60" s="24">
        <f>pol!D60</f>
        <v>0.5</v>
      </c>
      <c r="E60" s="25" t="str">
        <f>pol!E60</f>
        <v>80s</v>
      </c>
      <c r="F60" s="26">
        <f>pol!F60*25.4</f>
        <v>21.336</v>
      </c>
      <c r="G60" s="27">
        <f>pol!G60*25.4</f>
        <v>3.7337999999999996</v>
      </c>
      <c r="H60" s="25">
        <f t="shared" si="21"/>
        <v>13.8684</v>
      </c>
      <c r="I60" s="27">
        <f t="shared" si="22"/>
        <v>2.0647519041256475</v>
      </c>
      <c r="J60" s="28">
        <f t="shared" si="23"/>
        <v>1.5105760683862963</v>
      </c>
      <c r="K60" s="28">
        <f t="shared" si="24"/>
        <v>1.6208302447386334</v>
      </c>
      <c r="L60" s="28">
        <f t="shared" si="9"/>
        <v>0.15105760683862965</v>
      </c>
      <c r="M60" s="28">
        <f t="shared" si="19"/>
        <v>1.771887851577263</v>
      </c>
      <c r="N60" s="29">
        <f t="shared" si="1"/>
        <v>0.8356533779646509</v>
      </c>
      <c r="O60" s="29">
        <f t="shared" si="2"/>
        <v>0.7833271259511163</v>
      </c>
      <c r="P60" s="29">
        <f t="shared" si="25"/>
        <v>0.6361787359696959</v>
      </c>
    </row>
    <row r="61" spans="1:16" ht="11.25">
      <c r="A61" s="23"/>
      <c r="B61" s="15">
        <v>7</v>
      </c>
      <c r="C61" s="23">
        <f t="shared" si="20"/>
        <v>407</v>
      </c>
      <c r="D61" s="24">
        <f>pol!D61</f>
        <v>0.5</v>
      </c>
      <c r="E61" s="25" t="str">
        <f>pol!E61</f>
        <v>XS</v>
      </c>
      <c r="F61" s="26">
        <f>pol!F61*25.4</f>
        <v>21.336</v>
      </c>
      <c r="G61" s="27">
        <f>pol!G61*25.4</f>
        <v>3.7337999999999996</v>
      </c>
      <c r="H61" s="25">
        <f t="shared" si="21"/>
        <v>13.8684</v>
      </c>
      <c r="I61" s="27">
        <f t="shared" si="22"/>
        <v>2.0647519041256475</v>
      </c>
      <c r="J61" s="28">
        <f t="shared" si="23"/>
        <v>1.5105760683862963</v>
      </c>
      <c r="K61" s="28">
        <f t="shared" si="24"/>
        <v>1.6208302447386334</v>
      </c>
      <c r="L61" s="28">
        <f t="shared" si="9"/>
        <v>0.15105760683862965</v>
      </c>
      <c r="M61" s="28">
        <f t="shared" si="19"/>
        <v>1.771887851577263</v>
      </c>
      <c r="N61" s="29">
        <f t="shared" si="1"/>
        <v>0.8356533779646509</v>
      </c>
      <c r="O61" s="29">
        <f t="shared" si="2"/>
        <v>0.7833271259511163</v>
      </c>
      <c r="P61" s="29">
        <f t="shared" si="25"/>
        <v>0.6361787359696959</v>
      </c>
    </row>
    <row r="62" spans="1:16" ht="11.25">
      <c r="A62" s="23"/>
      <c r="B62" s="15">
        <v>8</v>
      </c>
      <c r="C62" s="23">
        <f t="shared" si="20"/>
        <v>408</v>
      </c>
      <c r="D62" s="24">
        <f>pol!D62</f>
        <v>0.5</v>
      </c>
      <c r="E62" s="25">
        <f>pol!E62</f>
        <v>160</v>
      </c>
      <c r="F62" s="26">
        <f>pol!F62*25.4</f>
        <v>21.336</v>
      </c>
      <c r="G62" s="27">
        <f>pol!G62*25.4</f>
        <v>4.7498</v>
      </c>
      <c r="H62" s="25">
        <f t="shared" si="21"/>
        <v>11.8364</v>
      </c>
      <c r="I62" s="27">
        <f t="shared" si="22"/>
        <v>2.4749822792029814</v>
      </c>
      <c r="J62" s="28">
        <f t="shared" si="23"/>
        <v>1.1003456933089621</v>
      </c>
      <c r="K62" s="28">
        <f t="shared" si="24"/>
        <v>1.9428610891743405</v>
      </c>
      <c r="L62" s="28">
        <f t="shared" si="9"/>
        <v>0.11003456933089623</v>
      </c>
      <c r="M62" s="28">
        <f t="shared" si="19"/>
        <v>2.052895658505237</v>
      </c>
      <c r="N62" s="29">
        <f t="shared" si="1"/>
        <v>0.9208871695236817</v>
      </c>
      <c r="O62" s="29">
        <f t="shared" si="2"/>
        <v>0.8632238184511452</v>
      </c>
      <c r="P62" s="29">
        <f t="shared" si="25"/>
        <v>0.6099822031010413</v>
      </c>
    </row>
    <row r="63" spans="1:16" ht="11.25">
      <c r="A63" s="23"/>
      <c r="B63" s="15">
        <v>9</v>
      </c>
      <c r="C63" s="23">
        <f t="shared" si="20"/>
        <v>409</v>
      </c>
      <c r="D63" s="24">
        <f>pol!D63</f>
        <v>0.5</v>
      </c>
      <c r="E63" s="25" t="str">
        <f>pol!E63</f>
        <v>XXS</v>
      </c>
      <c r="F63" s="26">
        <f>pol!F63*25.4</f>
        <v>21.336</v>
      </c>
      <c r="G63" s="27">
        <f>pol!G63*25.4</f>
        <v>7.467599999999999</v>
      </c>
      <c r="H63" s="25">
        <f t="shared" si="21"/>
        <v>6.4008</v>
      </c>
      <c r="I63" s="27">
        <f t="shared" si="22"/>
        <v>3.253548454985869</v>
      </c>
      <c r="J63" s="28">
        <f t="shared" si="23"/>
        <v>0.321779517526075</v>
      </c>
      <c r="K63" s="28">
        <f t="shared" si="24"/>
        <v>2.554035537163907</v>
      </c>
      <c r="L63" s="28">
        <f t="shared" si="9"/>
        <v>0.0321779517526075</v>
      </c>
      <c r="M63" s="28">
        <f t="shared" si="19"/>
        <v>2.5862134889165143</v>
      </c>
      <c r="N63" s="29">
        <f t="shared" si="1"/>
        <v>1.0089968251166088</v>
      </c>
      <c r="O63" s="29">
        <f t="shared" si="2"/>
        <v>0.9458162965097571</v>
      </c>
      <c r="P63" s="29">
        <f t="shared" si="25"/>
        <v>0.5568859491852888</v>
      </c>
    </row>
    <row r="64" spans="1:16" ht="11.25" customHeight="1" hidden="1">
      <c r="A64" s="23"/>
      <c r="B64" s="15">
        <v>10</v>
      </c>
      <c r="C64" s="23">
        <f t="shared" si="20"/>
        <v>410</v>
      </c>
      <c r="D64" s="24"/>
      <c r="E64" s="25"/>
      <c r="F64" s="26"/>
      <c r="G64" s="27"/>
      <c r="H64" s="25"/>
      <c r="I64" s="27"/>
      <c r="J64" s="28"/>
      <c r="K64" s="28"/>
      <c r="L64" s="28"/>
      <c r="M64" s="28"/>
      <c r="N64" s="29"/>
      <c r="O64" s="29"/>
      <c r="P64" s="29"/>
    </row>
    <row r="65" spans="1:16" ht="11.25" customHeight="1" hidden="1">
      <c r="A65" s="23"/>
      <c r="B65" s="15">
        <v>11</v>
      </c>
      <c r="C65" s="23">
        <f t="shared" si="20"/>
        <v>411</v>
      </c>
      <c r="D65" s="24"/>
      <c r="E65" s="25"/>
      <c r="F65" s="26"/>
      <c r="G65" s="27"/>
      <c r="H65" s="25"/>
      <c r="I65" s="27"/>
      <c r="J65" s="28"/>
      <c r="K65" s="28"/>
      <c r="L65" s="28"/>
      <c r="M65" s="28"/>
      <c r="N65" s="29"/>
      <c r="O65" s="29"/>
      <c r="P65" s="29"/>
    </row>
    <row r="66" spans="1:16" ht="11.25" customHeight="1" hidden="1">
      <c r="A66" s="23"/>
      <c r="B66" s="15">
        <v>12</v>
      </c>
      <c r="C66" s="23">
        <f t="shared" si="20"/>
        <v>412</v>
      </c>
      <c r="D66" s="24"/>
      <c r="E66" s="25"/>
      <c r="F66" s="26"/>
      <c r="G66" s="27"/>
      <c r="H66" s="25"/>
      <c r="I66" s="27"/>
      <c r="J66" s="28"/>
      <c r="K66" s="28"/>
      <c r="L66" s="28"/>
      <c r="M66" s="28"/>
      <c r="N66" s="29"/>
      <c r="O66" s="29"/>
      <c r="P66" s="29"/>
    </row>
    <row r="67" spans="1:16" ht="11.25" customHeight="1" hidden="1">
      <c r="A67" s="23"/>
      <c r="B67" s="15">
        <v>13</v>
      </c>
      <c r="C67" s="23">
        <f t="shared" si="20"/>
        <v>413</v>
      </c>
      <c r="D67" s="24"/>
      <c r="E67" s="25"/>
      <c r="F67" s="26"/>
      <c r="G67" s="27"/>
      <c r="H67" s="25"/>
      <c r="I67" s="27"/>
      <c r="J67" s="28"/>
      <c r="K67" s="28"/>
      <c r="L67" s="28"/>
      <c r="M67" s="28"/>
      <c r="N67" s="29"/>
      <c r="O67" s="29"/>
      <c r="P67" s="29"/>
    </row>
    <row r="68" spans="1:16" ht="11.25" customHeight="1" hidden="1">
      <c r="A68" s="23"/>
      <c r="B68" s="15">
        <v>14</v>
      </c>
      <c r="C68" s="23">
        <f t="shared" si="20"/>
        <v>414</v>
      </c>
      <c r="D68" s="24"/>
      <c r="E68" s="25"/>
      <c r="F68" s="26"/>
      <c r="G68" s="27"/>
      <c r="H68" s="25"/>
      <c r="I68" s="27"/>
      <c r="J68" s="28"/>
      <c r="K68" s="28"/>
      <c r="L68" s="28"/>
      <c r="M68" s="28"/>
      <c r="N68" s="29"/>
      <c r="O68" s="29"/>
      <c r="P68" s="29"/>
    </row>
    <row r="69" spans="1:16" ht="11.25" customHeight="1" hidden="1">
      <c r="A69" s="23"/>
      <c r="B69" s="15">
        <v>15</v>
      </c>
      <c r="C69" s="23">
        <f t="shared" si="20"/>
        <v>415</v>
      </c>
      <c r="D69" s="24"/>
      <c r="E69" s="25"/>
      <c r="F69" s="26"/>
      <c r="G69" s="27"/>
      <c r="H69" s="25"/>
      <c r="I69" s="27"/>
      <c r="J69" s="28"/>
      <c r="K69" s="28"/>
      <c r="L69" s="28"/>
      <c r="M69" s="28"/>
      <c r="N69" s="29"/>
      <c r="O69" s="29"/>
      <c r="P69" s="29"/>
    </row>
    <row r="70" spans="1:16" ht="11.25" customHeight="1" hidden="1">
      <c r="A70" s="23"/>
      <c r="B70" s="15">
        <v>16</v>
      </c>
      <c r="C70" s="23">
        <f t="shared" si="20"/>
        <v>416</v>
      </c>
      <c r="D70" s="24"/>
      <c r="E70" s="25"/>
      <c r="F70" s="26"/>
      <c r="G70" s="27"/>
      <c r="H70" s="25"/>
      <c r="I70" s="27"/>
      <c r="J70" s="28"/>
      <c r="K70" s="28"/>
      <c r="L70" s="28"/>
      <c r="M70" s="28"/>
      <c r="N70" s="29"/>
      <c r="O70" s="29"/>
      <c r="P70" s="29"/>
    </row>
    <row r="71" spans="1:16" ht="11.25">
      <c r="A71" s="23">
        <v>5</v>
      </c>
      <c r="B71" s="15">
        <v>1</v>
      </c>
      <c r="C71" s="23">
        <f>$A$71*100+B71</f>
        <v>501</v>
      </c>
      <c r="D71" s="24">
        <f>pol!D71</f>
        <v>0.75</v>
      </c>
      <c r="E71" s="25" t="str">
        <f>pol!E71</f>
        <v>5s</v>
      </c>
      <c r="F71" s="26">
        <f>pol!F71*25.4</f>
        <v>26.669999999999998</v>
      </c>
      <c r="G71" s="27">
        <f>pol!G71*25.4</f>
        <v>1.651</v>
      </c>
      <c r="H71" s="25">
        <f t="shared" si="21"/>
        <v>23.368</v>
      </c>
      <c r="I71" s="27">
        <f t="shared" si="22"/>
        <v>1.2976778539686913</v>
      </c>
      <c r="J71" s="28">
        <f t="shared" si="23"/>
        <v>4.28877210308122</v>
      </c>
      <c r="K71" s="28">
        <f t="shared" si="24"/>
        <v>1.0186771153654226</v>
      </c>
      <c r="L71" s="28">
        <f t="shared" si="9"/>
        <v>0.428877210308122</v>
      </c>
      <c r="M71" s="28">
        <f>L71+K71</f>
        <v>1.4475543256735446</v>
      </c>
      <c r="N71" s="29">
        <f t="shared" si="1"/>
        <v>1.0197739159317918</v>
      </c>
      <c r="O71" s="29">
        <f t="shared" si="2"/>
        <v>0.7647348450932072</v>
      </c>
      <c r="P71" s="29">
        <f t="shared" si="25"/>
        <v>0.8864791043786651</v>
      </c>
    </row>
    <row r="72" spans="1:16" ht="11.25">
      <c r="A72" s="23"/>
      <c r="B72" s="15">
        <v>2</v>
      </c>
      <c r="C72" s="23">
        <f aca="true" t="shared" si="26" ref="C72:C86">$A$71*100+B72</f>
        <v>502</v>
      </c>
      <c r="D72" s="24">
        <f>pol!D72</f>
        <v>0.75</v>
      </c>
      <c r="E72" s="25" t="str">
        <f>pol!E72</f>
        <v>10s</v>
      </c>
      <c r="F72" s="26">
        <f>pol!F72*25.4</f>
        <v>26.669999999999998</v>
      </c>
      <c r="G72" s="27">
        <f>pol!G72*25.4</f>
        <v>2.1082</v>
      </c>
      <c r="H72" s="25">
        <f t="shared" si="21"/>
        <v>22.453599999999998</v>
      </c>
      <c r="I72" s="27">
        <f t="shared" si="22"/>
        <v>1.6267539591937705</v>
      </c>
      <c r="J72" s="28">
        <f t="shared" si="23"/>
        <v>3.959695997856141</v>
      </c>
      <c r="K72" s="28">
        <f t="shared" si="24"/>
        <v>1.2770018579671099</v>
      </c>
      <c r="L72" s="28">
        <f t="shared" si="9"/>
        <v>0.3959695997856141</v>
      </c>
      <c r="M72" s="28">
        <f>L72+K72</f>
        <v>1.672971457752724</v>
      </c>
      <c r="N72" s="29">
        <f t="shared" si="1"/>
        <v>1.2357769163230223</v>
      </c>
      <c r="O72" s="29">
        <f t="shared" si="2"/>
        <v>0.9267168476363122</v>
      </c>
      <c r="P72" s="29">
        <f t="shared" si="25"/>
        <v>0.8715837068807563</v>
      </c>
    </row>
    <row r="73" spans="1:16" ht="11.25">
      <c r="A73" s="23"/>
      <c r="B73" s="15">
        <v>3</v>
      </c>
      <c r="C73" s="23">
        <f t="shared" si="26"/>
        <v>503</v>
      </c>
      <c r="D73" s="24">
        <f>pol!D73</f>
        <v>0.75</v>
      </c>
      <c r="E73" s="25">
        <f>pol!E73</f>
        <v>40</v>
      </c>
      <c r="F73" s="26">
        <f>pol!F73*25.4</f>
        <v>26.669999999999998</v>
      </c>
      <c r="G73" s="27">
        <f>pol!G73*25.4</f>
        <v>2.8702</v>
      </c>
      <c r="H73" s="25">
        <f t="shared" si="21"/>
        <v>20.929599999999997</v>
      </c>
      <c r="I73" s="27">
        <f t="shared" si="22"/>
        <v>2.1460277837728863</v>
      </c>
      <c r="J73" s="28">
        <f t="shared" si="23"/>
        <v>3.4404221732770255</v>
      </c>
      <c r="K73" s="28">
        <f t="shared" si="24"/>
        <v>1.6846318102617157</v>
      </c>
      <c r="L73" s="28">
        <f t="shared" si="9"/>
        <v>0.34404221732770257</v>
      </c>
      <c r="M73" s="28">
        <f>L73+K73</f>
        <v>2.0286740275894184</v>
      </c>
      <c r="N73" s="29">
        <f t="shared" si="1"/>
        <v>1.541568284649436</v>
      </c>
      <c r="O73" s="29">
        <f t="shared" si="2"/>
        <v>1.1560317095233867</v>
      </c>
      <c r="P73" s="29">
        <f t="shared" si="25"/>
        <v>0.8475468483216724</v>
      </c>
    </row>
    <row r="74" spans="1:16" ht="11.25">
      <c r="A74" s="23"/>
      <c r="B74" s="15">
        <v>4</v>
      </c>
      <c r="C74" s="23">
        <f t="shared" si="26"/>
        <v>504</v>
      </c>
      <c r="D74" s="24">
        <f>pol!D74</f>
        <v>0.75</v>
      </c>
      <c r="E74" s="25" t="str">
        <f>pol!E74</f>
        <v>40s</v>
      </c>
      <c r="F74" s="26">
        <f>pol!F74*25.4</f>
        <v>26.669999999999998</v>
      </c>
      <c r="G74" s="27">
        <f>pol!G74*25.4</f>
        <v>2.8702</v>
      </c>
      <c r="H74" s="25">
        <f t="shared" si="21"/>
        <v>20.929599999999997</v>
      </c>
      <c r="I74" s="27">
        <f t="shared" si="22"/>
        <v>2.1460277837728863</v>
      </c>
      <c r="J74" s="28">
        <f t="shared" si="23"/>
        <v>3.4404221732770255</v>
      </c>
      <c r="K74" s="28">
        <f t="shared" si="24"/>
        <v>1.6846318102617157</v>
      </c>
      <c r="L74" s="28">
        <f aca="true" t="shared" si="27" ref="L74:L137">J74*0.1</f>
        <v>0.34404221732770257</v>
      </c>
      <c r="M74" s="28">
        <f aca="true" t="shared" si="28" ref="M74:M137">L74+K74</f>
        <v>2.0286740275894184</v>
      </c>
      <c r="N74" s="29">
        <f t="shared" si="1"/>
        <v>1.541568284649436</v>
      </c>
      <c r="O74" s="29">
        <f t="shared" si="2"/>
        <v>1.1560317095233867</v>
      </c>
      <c r="P74" s="29">
        <f t="shared" si="25"/>
        <v>0.8475468483216724</v>
      </c>
    </row>
    <row r="75" spans="1:16" ht="11.25">
      <c r="A75" s="23"/>
      <c r="B75" s="15">
        <v>5</v>
      </c>
      <c r="C75" s="23">
        <f t="shared" si="26"/>
        <v>505</v>
      </c>
      <c r="D75" s="24">
        <f>pol!D75</f>
        <v>0.75</v>
      </c>
      <c r="E75" s="25" t="str">
        <f>pol!E75</f>
        <v>STD</v>
      </c>
      <c r="F75" s="26">
        <f>pol!F75*25.4</f>
        <v>26.669999999999998</v>
      </c>
      <c r="G75" s="27">
        <f>pol!G75*25.4</f>
        <v>2.8702</v>
      </c>
      <c r="H75" s="25">
        <f t="shared" si="21"/>
        <v>20.929599999999997</v>
      </c>
      <c r="I75" s="27">
        <f t="shared" si="22"/>
        <v>2.1460277837728863</v>
      </c>
      <c r="J75" s="28">
        <f t="shared" si="23"/>
        <v>3.4404221732770255</v>
      </c>
      <c r="K75" s="28">
        <f t="shared" si="24"/>
        <v>1.6846318102617157</v>
      </c>
      <c r="L75" s="28">
        <f t="shared" si="27"/>
        <v>0.34404221732770257</v>
      </c>
      <c r="M75" s="28">
        <f t="shared" si="28"/>
        <v>2.0286740275894184</v>
      </c>
      <c r="N75" s="29">
        <f t="shared" si="1"/>
        <v>1.541568284649436</v>
      </c>
      <c r="O75" s="29">
        <f t="shared" si="2"/>
        <v>1.1560317095233867</v>
      </c>
      <c r="P75" s="29">
        <f t="shared" si="25"/>
        <v>0.8475468483216724</v>
      </c>
    </row>
    <row r="76" spans="1:16" ht="11.25">
      <c r="A76" s="23"/>
      <c r="B76" s="15">
        <v>6</v>
      </c>
      <c r="C76" s="23">
        <f t="shared" si="26"/>
        <v>506</v>
      </c>
      <c r="D76" s="24">
        <f>pol!D76</f>
        <v>0.75</v>
      </c>
      <c r="E76" s="25">
        <f>pol!E76</f>
        <v>80</v>
      </c>
      <c r="F76" s="26">
        <f>pol!F76*25.4</f>
        <v>26.669999999999998</v>
      </c>
      <c r="G76" s="27">
        <f>pol!G76*25.4</f>
        <v>3.9115999999999995</v>
      </c>
      <c r="H76" s="25">
        <f t="shared" si="21"/>
        <v>18.846799999999998</v>
      </c>
      <c r="I76" s="27">
        <f t="shared" si="22"/>
        <v>2.796700991831565</v>
      </c>
      <c r="J76" s="28">
        <f t="shared" si="23"/>
        <v>2.789748965218347</v>
      </c>
      <c r="K76" s="28">
        <f t="shared" si="24"/>
        <v>2.1954102785877785</v>
      </c>
      <c r="L76" s="28">
        <f t="shared" si="27"/>
        <v>0.2789748965218347</v>
      </c>
      <c r="M76" s="28">
        <f t="shared" si="28"/>
        <v>2.4743851751096133</v>
      </c>
      <c r="N76" s="29">
        <f t="shared" si="1"/>
        <v>1.8641598718183856</v>
      </c>
      <c r="O76" s="29">
        <f t="shared" si="2"/>
        <v>1.3979451607186995</v>
      </c>
      <c r="P76" s="29">
        <f t="shared" si="25"/>
        <v>0.816429256825109</v>
      </c>
    </row>
    <row r="77" spans="1:16" ht="11.25">
      <c r="A77" s="23"/>
      <c r="B77" s="15">
        <v>7</v>
      </c>
      <c r="C77" s="23">
        <f t="shared" si="26"/>
        <v>507</v>
      </c>
      <c r="D77" s="24">
        <f>pol!D77</f>
        <v>0.75</v>
      </c>
      <c r="E77" s="25" t="str">
        <f>pol!E77</f>
        <v>80s</v>
      </c>
      <c r="F77" s="26">
        <f>pol!F77*25.4</f>
        <v>26.669999999999998</v>
      </c>
      <c r="G77" s="27">
        <f>pol!G77*25.4</f>
        <v>3.9115999999999995</v>
      </c>
      <c r="H77" s="25">
        <f>F77-2*G77</f>
        <v>18.846799999999998</v>
      </c>
      <c r="I77" s="27">
        <f>PI()*(F77^2-H77^2)/400</f>
        <v>2.796700991831565</v>
      </c>
      <c r="J77" s="28">
        <f>PI()*H77^2/400</f>
        <v>2.789748965218347</v>
      </c>
      <c r="K77" s="28">
        <f>0.785*I77</f>
        <v>2.1954102785877785</v>
      </c>
      <c r="L77" s="28">
        <f t="shared" si="27"/>
        <v>0.2789748965218347</v>
      </c>
      <c r="M77" s="28">
        <f t="shared" si="28"/>
        <v>2.4743851751096133</v>
      </c>
      <c r="N77" s="29">
        <f t="shared" si="1"/>
        <v>1.8641598718183856</v>
      </c>
      <c r="O77" s="29">
        <f t="shared" si="2"/>
        <v>1.3979451607186995</v>
      </c>
      <c r="P77" s="29">
        <f>SQRT(N77/I77)</f>
        <v>0.816429256825109</v>
      </c>
    </row>
    <row r="78" spans="1:16" ht="11.25">
      <c r="A78" s="23"/>
      <c r="B78" s="15">
        <v>8</v>
      </c>
      <c r="C78" s="23">
        <f t="shared" si="26"/>
        <v>508</v>
      </c>
      <c r="D78" s="24">
        <f>pol!D78</f>
        <v>0.75</v>
      </c>
      <c r="E78" s="25" t="str">
        <f>pol!E78</f>
        <v>XS</v>
      </c>
      <c r="F78" s="26">
        <f>pol!F78*25.4</f>
        <v>26.669999999999998</v>
      </c>
      <c r="G78" s="27">
        <f>pol!G78*25.4</f>
        <v>3.9115999999999995</v>
      </c>
      <c r="H78" s="25">
        <f>F78-2*G78</f>
        <v>18.846799999999998</v>
      </c>
      <c r="I78" s="27">
        <f>PI()*(F78^2-H78^2)/400</f>
        <v>2.796700991831565</v>
      </c>
      <c r="J78" s="28">
        <f>PI()*H78^2/400</f>
        <v>2.789748965218347</v>
      </c>
      <c r="K78" s="28">
        <f>0.785*I78</f>
        <v>2.1954102785877785</v>
      </c>
      <c r="L78" s="28">
        <f t="shared" si="27"/>
        <v>0.2789748965218347</v>
      </c>
      <c r="M78" s="28">
        <f t="shared" si="28"/>
        <v>2.4743851751096133</v>
      </c>
      <c r="N78" s="29">
        <f t="shared" si="1"/>
        <v>1.8641598718183856</v>
      </c>
      <c r="O78" s="29">
        <f t="shared" si="2"/>
        <v>1.3979451607186995</v>
      </c>
      <c r="P78" s="29">
        <f>SQRT(N78/I78)</f>
        <v>0.816429256825109</v>
      </c>
    </row>
    <row r="79" spans="1:16" ht="11.25">
      <c r="A79" s="23"/>
      <c r="B79" s="15">
        <v>9</v>
      </c>
      <c r="C79" s="23">
        <f t="shared" si="26"/>
        <v>509</v>
      </c>
      <c r="D79" s="24">
        <f>pol!D79</f>
        <v>0.75</v>
      </c>
      <c r="E79" s="25">
        <f>pol!E79</f>
        <v>160</v>
      </c>
      <c r="F79" s="26">
        <f>pol!F79*25.4</f>
        <v>26.669999999999998</v>
      </c>
      <c r="G79" s="27">
        <f>pol!G79*25.4</f>
        <v>5.5371999999999995</v>
      </c>
      <c r="H79" s="25">
        <f>F79-2*G79</f>
        <v>15.5956</v>
      </c>
      <c r="I79" s="27">
        <f>PI()*(F79^2-H79^2)/400</f>
        <v>3.676183029151509</v>
      </c>
      <c r="J79" s="28">
        <f>PI()*H79^2/400</f>
        <v>1.9102669278984021</v>
      </c>
      <c r="K79" s="28">
        <f>0.785*I79</f>
        <v>2.885803677883935</v>
      </c>
      <c r="L79" s="28">
        <f t="shared" si="27"/>
        <v>0.19102669278984022</v>
      </c>
      <c r="M79" s="28">
        <f t="shared" si="28"/>
        <v>3.076830370673775</v>
      </c>
      <c r="N79" s="29">
        <f t="shared" si="1"/>
        <v>2.193099681089261</v>
      </c>
      <c r="O79" s="29">
        <f t="shared" si="2"/>
        <v>1.6446191834190185</v>
      </c>
      <c r="P79" s="29">
        <f>SQRT(N79/I79)</f>
        <v>0.7723792945179202</v>
      </c>
    </row>
    <row r="80" spans="1:16" ht="11.25">
      <c r="A80" s="23"/>
      <c r="B80" s="15">
        <v>10</v>
      </c>
      <c r="C80" s="23">
        <f t="shared" si="26"/>
        <v>510</v>
      </c>
      <c r="D80" s="24">
        <f>pol!D80</f>
        <v>0.75</v>
      </c>
      <c r="E80" s="25" t="str">
        <f>pol!E80</f>
        <v>XXS</v>
      </c>
      <c r="F80" s="26">
        <f>pol!F80*25.4</f>
        <v>26.669999999999998</v>
      </c>
      <c r="G80" s="27">
        <f>pol!G80*25.4</f>
        <v>7.823199999999999</v>
      </c>
      <c r="H80" s="25">
        <f>F80-2*G80</f>
        <v>11.0236</v>
      </c>
      <c r="I80" s="27">
        <f>PI()*(F80^2-H80^2)/400</f>
        <v>4.632036017721029</v>
      </c>
      <c r="J80" s="28">
        <f>PI()*H80^2/400</f>
        <v>0.9544139393288827</v>
      </c>
      <c r="K80" s="28">
        <f>0.785*I80</f>
        <v>3.636148273911008</v>
      </c>
      <c r="L80" s="28">
        <f t="shared" si="27"/>
        <v>0.09544139393288828</v>
      </c>
      <c r="M80" s="28">
        <f t="shared" si="28"/>
        <v>3.7315896678438962</v>
      </c>
      <c r="N80" s="29">
        <f t="shared" si="1"/>
        <v>2.410999809317873</v>
      </c>
      <c r="O80" s="29">
        <f t="shared" si="2"/>
        <v>1.808023854006654</v>
      </c>
      <c r="P80" s="29">
        <f>SQRT(N80/I80)</f>
        <v>0.721460609181125</v>
      </c>
    </row>
    <row r="81" spans="1:16" ht="11.25" customHeight="1" hidden="1">
      <c r="A81" s="23"/>
      <c r="B81" s="15">
        <v>11</v>
      </c>
      <c r="C81" s="23">
        <f t="shared" si="26"/>
        <v>511</v>
      </c>
      <c r="D81" s="24"/>
      <c r="E81" s="25"/>
      <c r="F81" s="26"/>
      <c r="G81" s="27"/>
      <c r="H81" s="25"/>
      <c r="I81" s="27"/>
      <c r="J81" s="28"/>
      <c r="K81" s="28"/>
      <c r="L81" s="28"/>
      <c r="M81" s="28"/>
      <c r="N81" s="29"/>
      <c r="O81" s="29"/>
      <c r="P81" s="29"/>
    </row>
    <row r="82" spans="1:16" ht="11.25" customHeight="1" hidden="1">
      <c r="A82" s="23"/>
      <c r="B82" s="15">
        <v>12</v>
      </c>
      <c r="C82" s="23">
        <f t="shared" si="26"/>
        <v>512</v>
      </c>
      <c r="D82" s="24"/>
      <c r="E82" s="25"/>
      <c r="F82" s="26"/>
      <c r="G82" s="27"/>
      <c r="H82" s="25"/>
      <c r="I82" s="27"/>
      <c r="J82" s="28"/>
      <c r="K82" s="28"/>
      <c r="L82" s="28"/>
      <c r="M82" s="28"/>
      <c r="N82" s="29"/>
      <c r="O82" s="29"/>
      <c r="P82" s="29"/>
    </row>
    <row r="83" spans="1:16" ht="11.25" customHeight="1" hidden="1">
      <c r="A83" s="23"/>
      <c r="B83" s="15">
        <v>13</v>
      </c>
      <c r="C83" s="23">
        <f t="shared" si="26"/>
        <v>513</v>
      </c>
      <c r="D83" s="24"/>
      <c r="E83" s="25"/>
      <c r="F83" s="26"/>
      <c r="G83" s="27"/>
      <c r="H83" s="25"/>
      <c r="I83" s="27"/>
      <c r="J83" s="28"/>
      <c r="K83" s="28"/>
      <c r="L83" s="28"/>
      <c r="M83" s="28"/>
      <c r="N83" s="29"/>
      <c r="O83" s="29"/>
      <c r="P83" s="29"/>
    </row>
    <row r="84" spans="1:16" ht="11.25" customHeight="1" hidden="1">
      <c r="A84" s="23"/>
      <c r="B84" s="15">
        <v>14</v>
      </c>
      <c r="C84" s="23">
        <f t="shared" si="26"/>
        <v>514</v>
      </c>
      <c r="D84" s="24"/>
      <c r="E84" s="25"/>
      <c r="F84" s="26"/>
      <c r="G84" s="27"/>
      <c r="H84" s="25"/>
      <c r="I84" s="27"/>
      <c r="J84" s="28"/>
      <c r="K84" s="28"/>
      <c r="L84" s="28"/>
      <c r="M84" s="28"/>
      <c r="N84" s="29"/>
      <c r="O84" s="29"/>
      <c r="P84" s="29"/>
    </row>
    <row r="85" spans="1:16" ht="11.25" customHeight="1" hidden="1">
      <c r="A85" s="23"/>
      <c r="B85" s="15">
        <v>15</v>
      </c>
      <c r="C85" s="23">
        <f t="shared" si="26"/>
        <v>515</v>
      </c>
      <c r="D85" s="24"/>
      <c r="E85" s="25"/>
      <c r="F85" s="26"/>
      <c r="G85" s="27"/>
      <c r="H85" s="25"/>
      <c r="I85" s="27"/>
      <c r="J85" s="28"/>
      <c r="K85" s="28"/>
      <c r="L85" s="28"/>
      <c r="M85" s="28"/>
      <c r="N85" s="29"/>
      <c r="O85" s="29"/>
      <c r="P85" s="29"/>
    </row>
    <row r="86" spans="1:16" ht="11.25" customHeight="1" hidden="1">
      <c r="A86" s="23"/>
      <c r="B86" s="15">
        <v>16</v>
      </c>
      <c r="C86" s="23">
        <f t="shared" si="26"/>
        <v>516</v>
      </c>
      <c r="D86" s="24"/>
      <c r="E86" s="25"/>
      <c r="F86" s="26"/>
      <c r="G86" s="27"/>
      <c r="H86" s="25"/>
      <c r="I86" s="27"/>
      <c r="J86" s="28"/>
      <c r="K86" s="28"/>
      <c r="L86" s="28"/>
      <c r="M86" s="28"/>
      <c r="N86" s="29"/>
      <c r="O86" s="29"/>
      <c r="P86" s="29"/>
    </row>
    <row r="87" spans="1:16" ht="11.25">
      <c r="A87" s="23">
        <v>6</v>
      </c>
      <c r="B87" s="15">
        <v>1</v>
      </c>
      <c r="C87" s="23">
        <f>$A$87*100+B87</f>
        <v>601</v>
      </c>
      <c r="D87" s="24">
        <f>pol!D87</f>
        <v>1</v>
      </c>
      <c r="E87" s="25" t="str">
        <f>pol!E87</f>
        <v>5s</v>
      </c>
      <c r="F87" s="26">
        <f>pol!F87*25.4</f>
        <v>33.400999999999996</v>
      </c>
      <c r="G87" s="27">
        <f>pol!G87*25.4</f>
        <v>1.651</v>
      </c>
      <c r="H87" s="25">
        <f aca="true" t="shared" si="29" ref="H87:H96">F87-2*G87</f>
        <v>30.098999999999997</v>
      </c>
      <c r="I87" s="27">
        <f aca="true" t="shared" si="30" ref="I87:I96">PI()*(F87^2-H87^2)/400</f>
        <v>1.646799307066867</v>
      </c>
      <c r="J87" s="28">
        <f aca="true" t="shared" si="31" ref="J87:J96">PI()*H87^2/400</f>
        <v>7.115313098356836</v>
      </c>
      <c r="K87" s="28">
        <f aca="true" t="shared" si="32" ref="K87:K96">0.785*I87</f>
        <v>1.2927374560474907</v>
      </c>
      <c r="L87" s="28">
        <f t="shared" si="27"/>
        <v>0.7115313098356837</v>
      </c>
      <c r="M87" s="28">
        <f t="shared" si="28"/>
        <v>2.0042687658831744</v>
      </c>
      <c r="N87" s="29">
        <f aca="true" t="shared" si="33" ref="N87:N96">PI()*(($F87/10)^4-($H87/10)^4)/64</f>
        <v>2.080706842097621</v>
      </c>
      <c r="O87" s="29">
        <f aca="true" t="shared" si="34" ref="O87:O96">PI()*(($F87/10)^4-($H87/10)^4)/(32*($F87/10))</f>
        <v>1.2458949385333502</v>
      </c>
      <c r="P87" s="29">
        <f aca="true" t="shared" si="35" ref="P87:P96">SQRT(N87/I87)</f>
        <v>1.1240486538624566</v>
      </c>
    </row>
    <row r="88" spans="1:16" ht="11.25">
      <c r="A88" s="23"/>
      <c r="B88" s="15">
        <v>2</v>
      </c>
      <c r="C88" s="23">
        <f aca="true" t="shared" si="36" ref="C88:C102">$A$87*100+B88</f>
        <v>602</v>
      </c>
      <c r="D88" s="24">
        <f>pol!D88</f>
        <v>1</v>
      </c>
      <c r="E88" s="25" t="str">
        <f>pol!E88</f>
        <v>10s</v>
      </c>
      <c r="F88" s="26">
        <f>pol!F88*25.4</f>
        <v>33.400999999999996</v>
      </c>
      <c r="G88" s="27">
        <f>pol!G88*25.4</f>
        <v>2.7685999999999997</v>
      </c>
      <c r="H88" s="25">
        <f t="shared" si="29"/>
        <v>27.863799999999998</v>
      </c>
      <c r="I88" s="27">
        <f t="shared" si="30"/>
        <v>2.6643489982912967</v>
      </c>
      <c r="J88" s="28">
        <f t="shared" si="31"/>
        <v>6.097763407132406</v>
      </c>
      <c r="K88" s="28">
        <f t="shared" si="32"/>
        <v>2.091513963658668</v>
      </c>
      <c r="L88" s="28">
        <f t="shared" si="27"/>
        <v>0.6097763407132406</v>
      </c>
      <c r="M88" s="28">
        <f t="shared" si="28"/>
        <v>2.7012903043719083</v>
      </c>
      <c r="N88" s="29">
        <f t="shared" si="33"/>
        <v>3.1506229165863218</v>
      </c>
      <c r="O88" s="29">
        <f t="shared" si="34"/>
        <v>1.8865440654988306</v>
      </c>
      <c r="P88" s="29">
        <f t="shared" si="35"/>
        <v>1.0874333748096938</v>
      </c>
    </row>
    <row r="89" spans="1:16" ht="11.25">
      <c r="A89" s="23"/>
      <c r="B89" s="15">
        <v>3</v>
      </c>
      <c r="C89" s="23">
        <f t="shared" si="36"/>
        <v>603</v>
      </c>
      <c r="D89" s="24">
        <f>pol!D89</f>
        <v>1</v>
      </c>
      <c r="E89" s="25">
        <f>pol!E89</f>
        <v>40</v>
      </c>
      <c r="F89" s="26">
        <f>pol!F89*25.4</f>
        <v>33.400999999999996</v>
      </c>
      <c r="G89" s="27">
        <f>pol!G89*25.4</f>
        <v>3.3782</v>
      </c>
      <c r="H89" s="25">
        <f t="shared" si="29"/>
        <v>26.644599999999997</v>
      </c>
      <c r="I89" s="27">
        <f t="shared" si="30"/>
        <v>3.186298238360048</v>
      </c>
      <c r="J89" s="28">
        <f t="shared" si="31"/>
        <v>5.575814167063654</v>
      </c>
      <c r="K89" s="28">
        <f t="shared" si="32"/>
        <v>2.5012441171126376</v>
      </c>
      <c r="L89" s="28">
        <f t="shared" si="27"/>
        <v>0.5575814167063654</v>
      </c>
      <c r="M89" s="28">
        <f t="shared" si="28"/>
        <v>3.058825533819003</v>
      </c>
      <c r="N89" s="29">
        <f t="shared" si="33"/>
        <v>3.6354896399004484</v>
      </c>
      <c r="O89" s="29">
        <f t="shared" si="34"/>
        <v>2.176874728241938</v>
      </c>
      <c r="P89" s="29">
        <f t="shared" si="35"/>
        <v>1.068164755012072</v>
      </c>
    </row>
    <row r="90" spans="1:16" ht="11.25">
      <c r="A90" s="23"/>
      <c r="B90" s="15">
        <v>4</v>
      </c>
      <c r="C90" s="23">
        <f t="shared" si="36"/>
        <v>604</v>
      </c>
      <c r="D90" s="24">
        <f>pol!D90</f>
        <v>1</v>
      </c>
      <c r="E90" s="25" t="str">
        <f>pol!E90</f>
        <v>40s</v>
      </c>
      <c r="F90" s="26">
        <f>pol!F90*25.4</f>
        <v>33.400999999999996</v>
      </c>
      <c r="G90" s="27">
        <f>pol!G90*25.4</f>
        <v>3.3782</v>
      </c>
      <c r="H90" s="25">
        <f t="shared" si="29"/>
        <v>26.644599999999997</v>
      </c>
      <c r="I90" s="27">
        <f t="shared" si="30"/>
        <v>3.186298238360048</v>
      </c>
      <c r="J90" s="28">
        <f t="shared" si="31"/>
        <v>5.575814167063654</v>
      </c>
      <c r="K90" s="28">
        <f t="shared" si="32"/>
        <v>2.5012441171126376</v>
      </c>
      <c r="L90" s="28">
        <f t="shared" si="27"/>
        <v>0.5575814167063654</v>
      </c>
      <c r="M90" s="28">
        <f t="shared" si="28"/>
        <v>3.058825533819003</v>
      </c>
      <c r="N90" s="29">
        <f t="shared" si="33"/>
        <v>3.6354896399004484</v>
      </c>
      <c r="O90" s="29">
        <f t="shared" si="34"/>
        <v>2.176874728241938</v>
      </c>
      <c r="P90" s="29">
        <f t="shared" si="35"/>
        <v>1.068164755012072</v>
      </c>
    </row>
    <row r="91" spans="1:16" ht="11.25">
      <c r="A91" s="23"/>
      <c r="B91" s="15">
        <v>5</v>
      </c>
      <c r="C91" s="23">
        <f t="shared" si="36"/>
        <v>605</v>
      </c>
      <c r="D91" s="24">
        <f>pol!D91</f>
        <v>1</v>
      </c>
      <c r="E91" s="25" t="str">
        <f>pol!E91</f>
        <v>STD</v>
      </c>
      <c r="F91" s="26">
        <f>pol!F91*25.4</f>
        <v>33.400999999999996</v>
      </c>
      <c r="G91" s="27">
        <f>pol!G91*25.4</f>
        <v>3.3782</v>
      </c>
      <c r="H91" s="25">
        <f t="shared" si="29"/>
        <v>26.644599999999997</v>
      </c>
      <c r="I91" s="27">
        <f t="shared" si="30"/>
        <v>3.186298238360048</v>
      </c>
      <c r="J91" s="28">
        <f t="shared" si="31"/>
        <v>5.575814167063654</v>
      </c>
      <c r="K91" s="28">
        <f t="shared" si="32"/>
        <v>2.5012441171126376</v>
      </c>
      <c r="L91" s="28">
        <f t="shared" si="27"/>
        <v>0.5575814167063654</v>
      </c>
      <c r="M91" s="28">
        <f t="shared" si="28"/>
        <v>3.058825533819003</v>
      </c>
      <c r="N91" s="29">
        <f t="shared" si="33"/>
        <v>3.6354896399004484</v>
      </c>
      <c r="O91" s="29">
        <f t="shared" si="34"/>
        <v>2.176874728241938</v>
      </c>
      <c r="P91" s="29">
        <f t="shared" si="35"/>
        <v>1.068164755012072</v>
      </c>
    </row>
    <row r="92" spans="1:16" ht="11.25">
      <c r="A92" s="23"/>
      <c r="B92" s="15">
        <v>6</v>
      </c>
      <c r="C92" s="23">
        <f t="shared" si="36"/>
        <v>606</v>
      </c>
      <c r="D92" s="24">
        <f>pol!D92</f>
        <v>1</v>
      </c>
      <c r="E92" s="25">
        <f>pol!E92</f>
        <v>80</v>
      </c>
      <c r="F92" s="26">
        <f>pol!F92*25.4</f>
        <v>33.400999999999996</v>
      </c>
      <c r="G92" s="27">
        <f>pol!G92*25.4</f>
        <v>4.5466</v>
      </c>
      <c r="H92" s="25">
        <f t="shared" si="29"/>
        <v>24.307799999999997</v>
      </c>
      <c r="I92" s="27">
        <f t="shared" si="30"/>
        <v>4.121437025184061</v>
      </c>
      <c r="J92" s="28">
        <f t="shared" si="31"/>
        <v>4.640675380239641</v>
      </c>
      <c r="K92" s="28">
        <f t="shared" si="32"/>
        <v>3.2353280647694884</v>
      </c>
      <c r="L92" s="28">
        <f t="shared" si="27"/>
        <v>0.46406753802396417</v>
      </c>
      <c r="M92" s="28">
        <f t="shared" si="28"/>
        <v>3.6993956027934525</v>
      </c>
      <c r="N92" s="29">
        <f t="shared" si="33"/>
        <v>4.395759723766077</v>
      </c>
      <c r="O92" s="29">
        <f t="shared" si="34"/>
        <v>2.6321126455891006</v>
      </c>
      <c r="P92" s="29">
        <f t="shared" si="35"/>
        <v>1.032743900320888</v>
      </c>
    </row>
    <row r="93" spans="1:16" ht="11.25">
      <c r="A93" s="23"/>
      <c r="B93" s="15">
        <v>7</v>
      </c>
      <c r="C93" s="23">
        <f t="shared" si="36"/>
        <v>607</v>
      </c>
      <c r="D93" s="24">
        <f>pol!D93</f>
        <v>1</v>
      </c>
      <c r="E93" s="25" t="str">
        <f>pol!E93</f>
        <v>80s</v>
      </c>
      <c r="F93" s="26">
        <f>pol!F93*25.4</f>
        <v>33.400999999999996</v>
      </c>
      <c r="G93" s="27">
        <f>pol!G93*25.4</f>
        <v>4.5466</v>
      </c>
      <c r="H93" s="25">
        <f t="shared" si="29"/>
        <v>24.307799999999997</v>
      </c>
      <c r="I93" s="27">
        <f t="shared" si="30"/>
        <v>4.121437025184061</v>
      </c>
      <c r="J93" s="28">
        <f t="shared" si="31"/>
        <v>4.640675380239641</v>
      </c>
      <c r="K93" s="28">
        <f t="shared" si="32"/>
        <v>3.2353280647694884</v>
      </c>
      <c r="L93" s="28">
        <f t="shared" si="27"/>
        <v>0.46406753802396417</v>
      </c>
      <c r="M93" s="28">
        <f t="shared" si="28"/>
        <v>3.6993956027934525</v>
      </c>
      <c r="N93" s="29">
        <f t="shared" si="33"/>
        <v>4.395759723766077</v>
      </c>
      <c r="O93" s="29">
        <f t="shared" si="34"/>
        <v>2.6321126455891006</v>
      </c>
      <c r="P93" s="29">
        <f t="shared" si="35"/>
        <v>1.032743900320888</v>
      </c>
    </row>
    <row r="94" spans="1:16" ht="11.25">
      <c r="A94" s="23"/>
      <c r="B94" s="15">
        <v>8</v>
      </c>
      <c r="C94" s="23">
        <f t="shared" si="36"/>
        <v>608</v>
      </c>
      <c r="D94" s="24">
        <f>pol!D94</f>
        <v>1</v>
      </c>
      <c r="E94" s="25" t="str">
        <f>pol!E94</f>
        <v>XS</v>
      </c>
      <c r="F94" s="26">
        <f>pol!F94*25.4</f>
        <v>33.400999999999996</v>
      </c>
      <c r="G94" s="27">
        <f>pol!G94*25.4</f>
        <v>4.5466</v>
      </c>
      <c r="H94" s="25">
        <f t="shared" si="29"/>
        <v>24.307799999999997</v>
      </c>
      <c r="I94" s="27">
        <f t="shared" si="30"/>
        <v>4.121437025184061</v>
      </c>
      <c r="J94" s="28">
        <f t="shared" si="31"/>
        <v>4.640675380239641</v>
      </c>
      <c r="K94" s="28">
        <f t="shared" si="32"/>
        <v>3.2353280647694884</v>
      </c>
      <c r="L94" s="28">
        <f t="shared" si="27"/>
        <v>0.46406753802396417</v>
      </c>
      <c r="M94" s="28">
        <f t="shared" si="28"/>
        <v>3.6993956027934525</v>
      </c>
      <c r="N94" s="29">
        <f t="shared" si="33"/>
        <v>4.395759723766077</v>
      </c>
      <c r="O94" s="29">
        <f t="shared" si="34"/>
        <v>2.6321126455891006</v>
      </c>
      <c r="P94" s="29">
        <f t="shared" si="35"/>
        <v>1.032743900320888</v>
      </c>
    </row>
    <row r="95" spans="1:16" ht="11.25">
      <c r="A95" s="23"/>
      <c r="B95" s="15">
        <v>9</v>
      </c>
      <c r="C95" s="23">
        <f t="shared" si="36"/>
        <v>609</v>
      </c>
      <c r="D95" s="24">
        <f>pol!D95</f>
        <v>1</v>
      </c>
      <c r="E95" s="25">
        <f>pol!E95</f>
        <v>160</v>
      </c>
      <c r="F95" s="26">
        <f>pol!F95*25.4</f>
        <v>33.400999999999996</v>
      </c>
      <c r="G95" s="27">
        <f>pol!G95*25.4</f>
        <v>6.35</v>
      </c>
      <c r="H95" s="25">
        <f t="shared" si="29"/>
        <v>20.700999999999997</v>
      </c>
      <c r="I95" s="27">
        <f t="shared" si="30"/>
        <v>5.396434652388349</v>
      </c>
      <c r="J95" s="28">
        <f t="shared" si="31"/>
        <v>3.365677753035353</v>
      </c>
      <c r="K95" s="28">
        <f t="shared" si="32"/>
        <v>4.236201202124854</v>
      </c>
      <c r="L95" s="28">
        <f t="shared" si="27"/>
        <v>0.3365677753035353</v>
      </c>
      <c r="M95" s="28">
        <f t="shared" si="28"/>
        <v>4.57276897742839</v>
      </c>
      <c r="N95" s="29">
        <f t="shared" si="33"/>
        <v>5.208093018776555</v>
      </c>
      <c r="O95" s="29">
        <f t="shared" si="34"/>
        <v>3.1185252050995813</v>
      </c>
      <c r="P95" s="29">
        <f t="shared" si="35"/>
        <v>0.9823944606165083</v>
      </c>
    </row>
    <row r="96" spans="1:16" ht="11.25">
      <c r="A96" s="23"/>
      <c r="B96" s="15">
        <v>10</v>
      </c>
      <c r="C96" s="23">
        <f t="shared" si="36"/>
        <v>610</v>
      </c>
      <c r="D96" s="24">
        <f>pol!D96</f>
        <v>1</v>
      </c>
      <c r="E96" s="25" t="str">
        <f>pol!E96</f>
        <v>XXS</v>
      </c>
      <c r="F96" s="26">
        <f>pol!F96*25.4</f>
        <v>33.400999999999996</v>
      </c>
      <c r="G96" s="27">
        <f>pol!G96*25.4</f>
        <v>9.0932</v>
      </c>
      <c r="H96" s="25">
        <f t="shared" si="29"/>
        <v>15.214599999999997</v>
      </c>
      <c r="I96" s="27">
        <f t="shared" si="30"/>
        <v>6.944040903347091</v>
      </c>
      <c r="J96" s="28">
        <f t="shared" si="31"/>
        <v>1.818071502076612</v>
      </c>
      <c r="K96" s="28">
        <f t="shared" si="32"/>
        <v>5.451072109127466</v>
      </c>
      <c r="L96" s="28">
        <f t="shared" si="27"/>
        <v>0.18180715020766122</v>
      </c>
      <c r="M96" s="28">
        <f t="shared" si="28"/>
        <v>5.632879259335128</v>
      </c>
      <c r="N96" s="29">
        <f t="shared" si="33"/>
        <v>5.846495545393673</v>
      </c>
      <c r="O96" s="29">
        <f t="shared" si="34"/>
        <v>3.5007907220704015</v>
      </c>
      <c r="P96" s="29">
        <f t="shared" si="35"/>
        <v>0.917575219723157</v>
      </c>
    </row>
    <row r="97" spans="1:16" ht="11.25" customHeight="1" hidden="1">
      <c r="A97" s="23"/>
      <c r="B97" s="15">
        <v>11</v>
      </c>
      <c r="C97" s="23">
        <f t="shared" si="36"/>
        <v>611</v>
      </c>
      <c r="D97" s="24"/>
      <c r="E97" s="25"/>
      <c r="F97" s="26"/>
      <c r="G97" s="27"/>
      <c r="H97" s="25"/>
      <c r="I97" s="27"/>
      <c r="J97" s="28"/>
      <c r="K97" s="28"/>
      <c r="L97" s="28"/>
      <c r="M97" s="28"/>
      <c r="N97" s="29"/>
      <c r="O97" s="29"/>
      <c r="P97" s="29"/>
    </row>
    <row r="98" spans="1:16" ht="11.25" customHeight="1" hidden="1">
      <c r="A98" s="23"/>
      <c r="B98" s="15">
        <v>12</v>
      </c>
      <c r="C98" s="23">
        <f t="shared" si="36"/>
        <v>612</v>
      </c>
      <c r="D98" s="24"/>
      <c r="E98" s="25"/>
      <c r="F98" s="26"/>
      <c r="G98" s="27"/>
      <c r="H98" s="25"/>
      <c r="I98" s="27"/>
      <c r="J98" s="28"/>
      <c r="K98" s="28"/>
      <c r="L98" s="28"/>
      <c r="M98" s="28"/>
      <c r="N98" s="29"/>
      <c r="O98" s="29"/>
      <c r="P98" s="29"/>
    </row>
    <row r="99" spans="1:16" ht="11.25" customHeight="1" hidden="1">
      <c r="A99" s="23"/>
      <c r="B99" s="15">
        <v>13</v>
      </c>
      <c r="C99" s="23">
        <f t="shared" si="36"/>
        <v>613</v>
      </c>
      <c r="D99" s="24"/>
      <c r="E99" s="25"/>
      <c r="F99" s="26"/>
      <c r="G99" s="27"/>
      <c r="H99" s="25"/>
      <c r="I99" s="27"/>
      <c r="J99" s="28"/>
      <c r="K99" s="28"/>
      <c r="L99" s="28"/>
      <c r="M99" s="28"/>
      <c r="N99" s="29"/>
      <c r="O99" s="29"/>
      <c r="P99" s="29"/>
    </row>
    <row r="100" spans="1:16" ht="11.25" customHeight="1" hidden="1">
      <c r="A100" s="23"/>
      <c r="B100" s="15">
        <v>14</v>
      </c>
      <c r="C100" s="23">
        <f t="shared" si="36"/>
        <v>614</v>
      </c>
      <c r="D100" s="24"/>
      <c r="E100" s="25"/>
      <c r="F100" s="26"/>
      <c r="G100" s="27"/>
      <c r="H100" s="25"/>
      <c r="I100" s="27"/>
      <c r="J100" s="28"/>
      <c r="K100" s="28"/>
      <c r="L100" s="28"/>
      <c r="M100" s="28"/>
      <c r="N100" s="29"/>
      <c r="O100" s="29"/>
      <c r="P100" s="29"/>
    </row>
    <row r="101" spans="1:16" ht="11.25" customHeight="1" hidden="1">
      <c r="A101" s="23"/>
      <c r="B101" s="15">
        <v>15</v>
      </c>
      <c r="C101" s="23">
        <f t="shared" si="36"/>
        <v>615</v>
      </c>
      <c r="D101" s="24"/>
      <c r="E101" s="25"/>
      <c r="F101" s="26"/>
      <c r="G101" s="27"/>
      <c r="H101" s="25"/>
      <c r="I101" s="27"/>
      <c r="J101" s="28"/>
      <c r="K101" s="28"/>
      <c r="L101" s="28"/>
      <c r="M101" s="28"/>
      <c r="N101" s="29"/>
      <c r="O101" s="29"/>
      <c r="P101" s="29"/>
    </row>
    <row r="102" spans="1:16" ht="11.25" customHeight="1" hidden="1">
      <c r="A102" s="23"/>
      <c r="B102" s="15">
        <v>16</v>
      </c>
      <c r="C102" s="23">
        <f t="shared" si="36"/>
        <v>616</v>
      </c>
      <c r="D102" s="24"/>
      <c r="E102" s="25"/>
      <c r="F102" s="26"/>
      <c r="G102" s="27"/>
      <c r="H102" s="25"/>
      <c r="I102" s="27"/>
      <c r="J102" s="28"/>
      <c r="K102" s="28"/>
      <c r="L102" s="28"/>
      <c r="M102" s="28"/>
      <c r="N102" s="29"/>
      <c r="O102" s="29"/>
      <c r="P102" s="29"/>
    </row>
    <row r="103" spans="1:16" ht="11.25">
      <c r="A103" s="23">
        <v>7</v>
      </c>
      <c r="B103" s="15">
        <v>1</v>
      </c>
      <c r="C103" s="23">
        <f>$A$103*100+B103</f>
        <v>701</v>
      </c>
      <c r="D103" s="24">
        <f>pol!D103</f>
        <v>1.25</v>
      </c>
      <c r="E103" s="25" t="str">
        <f>pol!E103</f>
        <v>5s</v>
      </c>
      <c r="F103" s="26">
        <f>pol!F103*25.4</f>
        <v>42.163999999999994</v>
      </c>
      <c r="G103" s="27">
        <f>pol!G103*25.4</f>
        <v>1.651</v>
      </c>
      <c r="H103" s="25">
        <f aca="true" t="shared" si="37" ref="H103:H112">F103-2*G103</f>
        <v>38.861999999999995</v>
      </c>
      <c r="I103" s="27">
        <f aca="true" t="shared" si="38" ref="I103:I112">PI()*(F103^2-H103^2)/400</f>
        <v>2.1013159158173225</v>
      </c>
      <c r="J103" s="28">
        <f aca="true" t="shared" si="39" ref="J103:J112">PI()*H103^2/400</f>
        <v>11.861515378193321</v>
      </c>
      <c r="K103" s="28">
        <f aca="true" t="shared" si="40" ref="K103:K112">0.785*I103</f>
        <v>1.6495329939165981</v>
      </c>
      <c r="L103" s="28">
        <f t="shared" si="27"/>
        <v>1.1861515378193321</v>
      </c>
      <c r="M103" s="28">
        <f t="shared" si="28"/>
        <v>2.8356845317359305</v>
      </c>
      <c r="N103" s="29">
        <f aca="true" t="shared" si="41" ref="N103:N112">PI()*(($F103/10)^4-($H103/10)^4)/64</f>
        <v>4.318280300907192</v>
      </c>
      <c r="O103" s="29">
        <f aca="true" t="shared" si="42" ref="O103:O112">PI()*(($F103/10)^4-($H103/10)^4)/(32*($F103/10))</f>
        <v>2.048325728539604</v>
      </c>
      <c r="P103" s="29">
        <f aca="true" t="shared" si="43" ref="P103:P112">SQRT(N103/I103)</f>
        <v>1.4335397491873034</v>
      </c>
    </row>
    <row r="104" spans="1:16" ht="11.25">
      <c r="A104" s="23"/>
      <c r="B104" s="15">
        <v>2</v>
      </c>
      <c r="C104" s="23">
        <f aca="true" t="shared" si="44" ref="C104:C118">$A$103*100+B104</f>
        <v>702</v>
      </c>
      <c r="D104" s="24">
        <f>pol!D104</f>
        <v>1.25</v>
      </c>
      <c r="E104" s="25" t="str">
        <f>pol!E104</f>
        <v>10s</v>
      </c>
      <c r="F104" s="26">
        <f>pol!F104*25.4</f>
        <v>42.163999999999994</v>
      </c>
      <c r="G104" s="27">
        <f>pol!G104*25.4</f>
        <v>2.7685999999999997</v>
      </c>
      <c r="H104" s="25">
        <f t="shared" si="37"/>
        <v>36.626799999999996</v>
      </c>
      <c r="I104" s="27">
        <f t="shared" si="38"/>
        <v>3.4265383883497535</v>
      </c>
      <c r="J104" s="28">
        <f t="shared" si="39"/>
        <v>10.53629290566089</v>
      </c>
      <c r="K104" s="28">
        <f t="shared" si="40"/>
        <v>2.6898326348545565</v>
      </c>
      <c r="L104" s="28">
        <f t="shared" si="27"/>
        <v>1.0536292905660891</v>
      </c>
      <c r="M104" s="28">
        <f t="shared" si="28"/>
        <v>3.743461925420646</v>
      </c>
      <c r="N104" s="29">
        <f t="shared" si="41"/>
        <v>6.680305087866762</v>
      </c>
      <c r="O104" s="29">
        <f t="shared" si="42"/>
        <v>3.1687245459950493</v>
      </c>
      <c r="P104" s="29">
        <f t="shared" si="43"/>
        <v>1.3962730244833923</v>
      </c>
    </row>
    <row r="105" spans="1:16" ht="11.25">
      <c r="A105" s="23"/>
      <c r="B105" s="15">
        <v>3</v>
      </c>
      <c r="C105" s="23">
        <f t="shared" si="44"/>
        <v>703</v>
      </c>
      <c r="D105" s="24">
        <f>pol!D105</f>
        <v>1.25</v>
      </c>
      <c r="E105" s="25">
        <f>pol!E105</f>
        <v>40</v>
      </c>
      <c r="F105" s="26">
        <f>pol!F105*25.4</f>
        <v>42.163999999999994</v>
      </c>
      <c r="G105" s="27">
        <f>pol!G105*25.4</f>
        <v>3.556</v>
      </c>
      <c r="H105" s="25">
        <f t="shared" si="37"/>
        <v>35.05199999999999</v>
      </c>
      <c r="I105" s="27">
        <f t="shared" si="38"/>
        <v>4.3130940620779015</v>
      </c>
      <c r="J105" s="28">
        <f t="shared" si="39"/>
        <v>9.649737231932741</v>
      </c>
      <c r="K105" s="28">
        <f t="shared" si="40"/>
        <v>3.3857788387311527</v>
      </c>
      <c r="L105" s="28">
        <f t="shared" si="27"/>
        <v>0.9649737231932742</v>
      </c>
      <c r="M105" s="28">
        <f t="shared" si="28"/>
        <v>4.350752561924427</v>
      </c>
      <c r="N105" s="29">
        <f t="shared" si="41"/>
        <v>8.10442666582514</v>
      </c>
      <c r="O105" s="29">
        <f t="shared" si="42"/>
        <v>3.844239951534551</v>
      </c>
      <c r="P105" s="29">
        <f t="shared" si="43"/>
        <v>1.3707766047026038</v>
      </c>
    </row>
    <row r="106" spans="1:16" ht="11.25">
      <c r="A106" s="23"/>
      <c r="B106" s="15">
        <v>4</v>
      </c>
      <c r="C106" s="23">
        <f t="shared" si="44"/>
        <v>704</v>
      </c>
      <c r="D106" s="24">
        <f>pol!D106</f>
        <v>1.25</v>
      </c>
      <c r="E106" s="25" t="str">
        <f>pol!E106</f>
        <v>40s</v>
      </c>
      <c r="F106" s="26">
        <f>pol!F106*25.4</f>
        <v>42.163999999999994</v>
      </c>
      <c r="G106" s="27">
        <f>pol!G106*25.4</f>
        <v>3.556</v>
      </c>
      <c r="H106" s="25">
        <f t="shared" si="37"/>
        <v>35.05199999999999</v>
      </c>
      <c r="I106" s="27">
        <f t="shared" si="38"/>
        <v>4.3130940620779015</v>
      </c>
      <c r="J106" s="28">
        <f t="shared" si="39"/>
        <v>9.649737231932741</v>
      </c>
      <c r="K106" s="28">
        <f t="shared" si="40"/>
        <v>3.3857788387311527</v>
      </c>
      <c r="L106" s="28">
        <f t="shared" si="27"/>
        <v>0.9649737231932742</v>
      </c>
      <c r="M106" s="28">
        <f t="shared" si="28"/>
        <v>4.350752561924427</v>
      </c>
      <c r="N106" s="29">
        <f t="shared" si="41"/>
        <v>8.10442666582514</v>
      </c>
      <c r="O106" s="29">
        <f t="shared" si="42"/>
        <v>3.844239951534551</v>
      </c>
      <c r="P106" s="29">
        <f t="shared" si="43"/>
        <v>1.3707766047026038</v>
      </c>
    </row>
    <row r="107" spans="1:16" ht="11.25">
      <c r="A107" s="23"/>
      <c r="B107" s="15">
        <v>5</v>
      </c>
      <c r="C107" s="23">
        <f t="shared" si="44"/>
        <v>705</v>
      </c>
      <c r="D107" s="24">
        <f>pol!D107</f>
        <v>1.25</v>
      </c>
      <c r="E107" s="25" t="str">
        <f>pol!E107</f>
        <v>STD</v>
      </c>
      <c r="F107" s="26">
        <f>pol!F107*25.4</f>
        <v>42.163999999999994</v>
      </c>
      <c r="G107" s="27">
        <f>pol!G107*25.4</f>
        <v>3.556</v>
      </c>
      <c r="H107" s="25">
        <f t="shared" si="37"/>
        <v>35.05199999999999</v>
      </c>
      <c r="I107" s="27">
        <f t="shared" si="38"/>
        <v>4.3130940620779015</v>
      </c>
      <c r="J107" s="28">
        <f t="shared" si="39"/>
        <v>9.649737231932741</v>
      </c>
      <c r="K107" s="28">
        <f t="shared" si="40"/>
        <v>3.3857788387311527</v>
      </c>
      <c r="L107" s="28">
        <f t="shared" si="27"/>
        <v>0.9649737231932742</v>
      </c>
      <c r="M107" s="28">
        <f t="shared" si="28"/>
        <v>4.350752561924427</v>
      </c>
      <c r="N107" s="29">
        <f t="shared" si="41"/>
        <v>8.10442666582514</v>
      </c>
      <c r="O107" s="29">
        <f t="shared" si="42"/>
        <v>3.844239951534551</v>
      </c>
      <c r="P107" s="29">
        <f t="shared" si="43"/>
        <v>1.3707766047026038</v>
      </c>
    </row>
    <row r="108" spans="1:16" ht="11.25">
      <c r="A108" s="23"/>
      <c r="B108" s="15">
        <v>6</v>
      </c>
      <c r="C108" s="23">
        <f t="shared" si="44"/>
        <v>706</v>
      </c>
      <c r="D108" s="24">
        <f>pol!D108</f>
        <v>1.25</v>
      </c>
      <c r="E108" s="25">
        <f>pol!E108</f>
        <v>80</v>
      </c>
      <c r="F108" s="26">
        <f>pol!F108*25.4</f>
        <v>42.163999999999994</v>
      </c>
      <c r="G108" s="27">
        <f>pol!G108*25.4</f>
        <v>4.8514</v>
      </c>
      <c r="H108" s="25">
        <f t="shared" si="37"/>
        <v>32.46119999999999</v>
      </c>
      <c r="I108" s="27">
        <f t="shared" si="38"/>
        <v>5.686859111107873</v>
      </c>
      <c r="J108" s="28">
        <f t="shared" si="39"/>
        <v>8.27597218290277</v>
      </c>
      <c r="K108" s="28">
        <f t="shared" si="40"/>
        <v>4.464184402219681</v>
      </c>
      <c r="L108" s="28">
        <f t="shared" si="27"/>
        <v>0.827597218290277</v>
      </c>
      <c r="M108" s="28">
        <f t="shared" si="28"/>
        <v>5.291781620509958</v>
      </c>
      <c r="N108" s="29">
        <f t="shared" si="41"/>
        <v>10.064078647203882</v>
      </c>
      <c r="O108" s="29">
        <f t="shared" si="42"/>
        <v>4.773777937199451</v>
      </c>
      <c r="P108" s="29">
        <f t="shared" si="43"/>
        <v>1.3303036310932925</v>
      </c>
    </row>
    <row r="109" spans="1:16" ht="11.25">
      <c r="A109" s="23"/>
      <c r="B109" s="15">
        <v>7</v>
      </c>
      <c r="C109" s="23">
        <f t="shared" si="44"/>
        <v>707</v>
      </c>
      <c r="D109" s="24">
        <f>pol!D109</f>
        <v>1.25</v>
      </c>
      <c r="E109" s="25" t="str">
        <f>pol!E109</f>
        <v>80s</v>
      </c>
      <c r="F109" s="26">
        <f>pol!F109*25.4</f>
        <v>42.163999999999994</v>
      </c>
      <c r="G109" s="27">
        <f>pol!G109*25.4</f>
        <v>4.8514</v>
      </c>
      <c r="H109" s="25">
        <f t="shared" si="37"/>
        <v>32.46119999999999</v>
      </c>
      <c r="I109" s="27">
        <f t="shared" si="38"/>
        <v>5.686859111107873</v>
      </c>
      <c r="J109" s="28">
        <f t="shared" si="39"/>
        <v>8.27597218290277</v>
      </c>
      <c r="K109" s="28">
        <f t="shared" si="40"/>
        <v>4.464184402219681</v>
      </c>
      <c r="L109" s="28">
        <f t="shared" si="27"/>
        <v>0.827597218290277</v>
      </c>
      <c r="M109" s="28">
        <f t="shared" si="28"/>
        <v>5.291781620509958</v>
      </c>
      <c r="N109" s="29">
        <f t="shared" si="41"/>
        <v>10.064078647203882</v>
      </c>
      <c r="O109" s="29">
        <f t="shared" si="42"/>
        <v>4.773777937199451</v>
      </c>
      <c r="P109" s="29">
        <f t="shared" si="43"/>
        <v>1.3303036310932925</v>
      </c>
    </row>
    <row r="110" spans="1:16" ht="11.25">
      <c r="A110" s="23"/>
      <c r="B110" s="15">
        <v>8</v>
      </c>
      <c r="C110" s="23">
        <f t="shared" si="44"/>
        <v>708</v>
      </c>
      <c r="D110" s="24">
        <f>pol!D110</f>
        <v>1.25</v>
      </c>
      <c r="E110" s="25" t="str">
        <f>pol!E110</f>
        <v>XS</v>
      </c>
      <c r="F110" s="26">
        <f>pol!F110*25.4</f>
        <v>42.163999999999994</v>
      </c>
      <c r="G110" s="27">
        <f>pol!G110*25.4</f>
        <v>4.8514</v>
      </c>
      <c r="H110" s="25">
        <f t="shared" si="37"/>
        <v>32.46119999999999</v>
      </c>
      <c r="I110" s="27">
        <f t="shared" si="38"/>
        <v>5.686859111107873</v>
      </c>
      <c r="J110" s="28">
        <f t="shared" si="39"/>
        <v>8.27597218290277</v>
      </c>
      <c r="K110" s="28">
        <f t="shared" si="40"/>
        <v>4.464184402219681</v>
      </c>
      <c r="L110" s="28">
        <f t="shared" si="27"/>
        <v>0.827597218290277</v>
      </c>
      <c r="M110" s="28">
        <f t="shared" si="28"/>
        <v>5.291781620509958</v>
      </c>
      <c r="N110" s="29">
        <f t="shared" si="41"/>
        <v>10.064078647203882</v>
      </c>
      <c r="O110" s="29">
        <f t="shared" si="42"/>
        <v>4.773777937199451</v>
      </c>
      <c r="P110" s="29">
        <f t="shared" si="43"/>
        <v>1.3303036310932925</v>
      </c>
    </row>
    <row r="111" spans="1:16" ht="11.25">
      <c r="A111" s="23"/>
      <c r="B111" s="15">
        <v>9</v>
      </c>
      <c r="C111" s="23">
        <f t="shared" si="44"/>
        <v>709</v>
      </c>
      <c r="D111" s="24">
        <f>pol!D111</f>
        <v>1.25</v>
      </c>
      <c r="E111" s="25">
        <f>pol!E111</f>
        <v>160</v>
      </c>
      <c r="F111" s="26">
        <f>pol!F111*25.4</f>
        <v>42.163999999999994</v>
      </c>
      <c r="G111" s="27">
        <f>pol!G111*25.4</f>
        <v>6.35</v>
      </c>
      <c r="H111" s="25">
        <f t="shared" si="37"/>
        <v>29.463999999999995</v>
      </c>
      <c r="I111" s="27">
        <f t="shared" si="38"/>
        <v>7.144575455274716</v>
      </c>
      <c r="J111" s="28">
        <f t="shared" si="39"/>
        <v>6.818255838735927</v>
      </c>
      <c r="K111" s="28">
        <f t="shared" si="40"/>
        <v>5.608491732390653</v>
      </c>
      <c r="L111" s="28">
        <f t="shared" si="27"/>
        <v>0.6818255838735927</v>
      </c>
      <c r="M111" s="28">
        <f t="shared" si="28"/>
        <v>6.290317316264246</v>
      </c>
      <c r="N111" s="29">
        <f t="shared" si="41"/>
        <v>11.815029941333442</v>
      </c>
      <c r="O111" s="29">
        <f t="shared" si="42"/>
        <v>5.604321194067662</v>
      </c>
      <c r="P111" s="29">
        <f t="shared" si="43"/>
        <v>1.2859651511607921</v>
      </c>
    </row>
    <row r="112" spans="1:16" ht="11.25">
      <c r="A112" s="23"/>
      <c r="B112" s="15">
        <v>10</v>
      </c>
      <c r="C112" s="23">
        <f t="shared" si="44"/>
        <v>710</v>
      </c>
      <c r="D112" s="24">
        <f>pol!D112</f>
        <v>1.25</v>
      </c>
      <c r="E112" s="25" t="str">
        <f>pol!E112</f>
        <v>XXS</v>
      </c>
      <c r="F112" s="26">
        <f>pol!F112*25.4</f>
        <v>42.163999999999994</v>
      </c>
      <c r="G112" s="27">
        <f>pol!G112*25.4</f>
        <v>9.7028</v>
      </c>
      <c r="H112" s="25">
        <f t="shared" si="37"/>
        <v>22.758399999999995</v>
      </c>
      <c r="I112" s="27">
        <f t="shared" si="38"/>
        <v>9.894902578619277</v>
      </c>
      <c r="J112" s="28">
        <f t="shared" si="39"/>
        <v>4.067928715391365</v>
      </c>
      <c r="K112" s="28">
        <f t="shared" si="40"/>
        <v>7.7674985242161325</v>
      </c>
      <c r="L112" s="28">
        <f t="shared" si="27"/>
        <v>0.4067928715391365</v>
      </c>
      <c r="M112" s="28">
        <f t="shared" si="28"/>
        <v>8.174291395755269</v>
      </c>
      <c r="N112" s="29">
        <f t="shared" si="41"/>
        <v>14.197624691064826</v>
      </c>
      <c r="O112" s="29">
        <f t="shared" si="42"/>
        <v>6.734477132655739</v>
      </c>
      <c r="P112" s="29">
        <f t="shared" si="43"/>
        <v>1.1978490270480664</v>
      </c>
    </row>
    <row r="113" spans="1:16" ht="11.25" customHeight="1" hidden="1">
      <c r="A113" s="23"/>
      <c r="B113" s="15">
        <v>11</v>
      </c>
      <c r="C113" s="23">
        <f t="shared" si="44"/>
        <v>711</v>
      </c>
      <c r="D113" s="24"/>
      <c r="E113" s="25"/>
      <c r="F113" s="26"/>
      <c r="G113" s="27"/>
      <c r="H113" s="25"/>
      <c r="I113" s="27"/>
      <c r="J113" s="28"/>
      <c r="K113" s="28"/>
      <c r="L113" s="28"/>
      <c r="M113" s="28"/>
      <c r="N113" s="29"/>
      <c r="O113" s="29"/>
      <c r="P113" s="29"/>
    </row>
    <row r="114" spans="1:16" ht="11.25" customHeight="1" hidden="1">
      <c r="A114" s="23"/>
      <c r="B114" s="15">
        <v>12</v>
      </c>
      <c r="C114" s="23">
        <f t="shared" si="44"/>
        <v>712</v>
      </c>
      <c r="D114" s="24"/>
      <c r="E114" s="25"/>
      <c r="F114" s="26"/>
      <c r="G114" s="27"/>
      <c r="H114" s="25"/>
      <c r="I114" s="27"/>
      <c r="J114" s="28"/>
      <c r="K114" s="28"/>
      <c r="L114" s="28"/>
      <c r="M114" s="28"/>
      <c r="N114" s="29"/>
      <c r="O114" s="29"/>
      <c r="P114" s="29"/>
    </row>
    <row r="115" spans="1:16" ht="11.25" customHeight="1" hidden="1">
      <c r="A115" s="23"/>
      <c r="B115" s="15">
        <v>13</v>
      </c>
      <c r="C115" s="23">
        <f t="shared" si="44"/>
        <v>713</v>
      </c>
      <c r="D115" s="24"/>
      <c r="E115" s="25"/>
      <c r="F115" s="26"/>
      <c r="G115" s="27"/>
      <c r="H115" s="25"/>
      <c r="I115" s="27"/>
      <c r="J115" s="28"/>
      <c r="K115" s="28"/>
      <c r="L115" s="28"/>
      <c r="M115" s="28"/>
      <c r="N115" s="29"/>
      <c r="O115" s="29"/>
      <c r="P115" s="29"/>
    </row>
    <row r="116" spans="1:16" ht="11.25" customHeight="1" hidden="1">
      <c r="A116" s="23"/>
      <c r="B116" s="15">
        <v>14</v>
      </c>
      <c r="C116" s="23">
        <f t="shared" si="44"/>
        <v>714</v>
      </c>
      <c r="D116" s="24"/>
      <c r="E116" s="25"/>
      <c r="F116" s="26"/>
      <c r="G116" s="27"/>
      <c r="H116" s="25"/>
      <c r="I116" s="27"/>
      <c r="J116" s="28"/>
      <c r="K116" s="28"/>
      <c r="L116" s="28"/>
      <c r="M116" s="28"/>
      <c r="N116" s="29"/>
      <c r="O116" s="29"/>
      <c r="P116" s="29"/>
    </row>
    <row r="117" spans="1:16" ht="11.25" customHeight="1" hidden="1">
      <c r="A117" s="23"/>
      <c r="B117" s="15">
        <v>15</v>
      </c>
      <c r="C117" s="23">
        <f t="shared" si="44"/>
        <v>715</v>
      </c>
      <c r="D117" s="24"/>
      <c r="E117" s="25"/>
      <c r="F117" s="26"/>
      <c r="G117" s="27"/>
      <c r="H117" s="25"/>
      <c r="I117" s="27"/>
      <c r="J117" s="28"/>
      <c r="K117" s="28"/>
      <c r="L117" s="28"/>
      <c r="M117" s="28"/>
      <c r="N117" s="29"/>
      <c r="O117" s="29"/>
      <c r="P117" s="29"/>
    </row>
    <row r="118" spans="1:16" ht="11.25" customHeight="1" hidden="1">
      <c r="A118" s="23"/>
      <c r="B118" s="15">
        <v>16</v>
      </c>
      <c r="C118" s="23">
        <f t="shared" si="44"/>
        <v>716</v>
      </c>
      <c r="D118" s="24"/>
      <c r="E118" s="25"/>
      <c r="F118" s="26"/>
      <c r="G118" s="27"/>
      <c r="H118" s="25"/>
      <c r="I118" s="27"/>
      <c r="J118" s="28"/>
      <c r="K118" s="28"/>
      <c r="L118" s="28"/>
      <c r="M118" s="28"/>
      <c r="N118" s="29"/>
      <c r="O118" s="29"/>
      <c r="P118" s="29"/>
    </row>
    <row r="119" spans="1:16" ht="11.25">
      <c r="A119" s="23">
        <v>8</v>
      </c>
      <c r="B119" s="15">
        <v>1</v>
      </c>
      <c r="C119" s="23">
        <f>$A$119*100+B119</f>
        <v>801</v>
      </c>
      <c r="D119" s="24">
        <f>pol!D119</f>
        <v>1.5</v>
      </c>
      <c r="E119" s="25" t="str">
        <f>pol!E119</f>
        <v>5s</v>
      </c>
      <c r="F119" s="26">
        <f>pol!F119*25.4</f>
        <v>48.26</v>
      </c>
      <c r="G119" s="27">
        <f>pol!G119*25.4</f>
        <v>1.651</v>
      </c>
      <c r="H119" s="25">
        <f aca="true" t="shared" si="45" ref="H119:H128">F119-2*G119</f>
        <v>44.958</v>
      </c>
      <c r="I119" s="27">
        <f aca="true" t="shared" si="46" ref="I119:I128">PI()*(F119^2-H119^2)/400</f>
        <v>2.417501382774162</v>
      </c>
      <c r="J119" s="28">
        <f aca="true" t="shared" si="47" ref="J119:J128">PI()*H119^2/400</f>
        <v>15.874638612645505</v>
      </c>
      <c r="K119" s="28">
        <f aca="true" t="shared" si="48" ref="K119:K128">0.785*I119</f>
        <v>1.8977385854777171</v>
      </c>
      <c r="L119" s="28">
        <f t="shared" si="27"/>
        <v>1.5874638612645506</v>
      </c>
      <c r="M119" s="28">
        <f t="shared" si="28"/>
        <v>3.4852024467422678</v>
      </c>
      <c r="N119" s="29">
        <f aca="true" t="shared" si="49" ref="N119:N128">PI()*(($F119/10)^4-($H119/10)^4)/64</f>
        <v>6.5729586580515065</v>
      </c>
      <c r="O119" s="29">
        <f aca="true" t="shared" si="50" ref="O119:O128">PI()*(($F119/10)^4-($H119/10)^4)/(32*($F119/10))</f>
        <v>2.723977893929344</v>
      </c>
      <c r="P119" s="29">
        <f aca="true" t="shared" si="51" ref="P119:P128">SQRT(N119/I119)</f>
        <v>1.6489105046969645</v>
      </c>
    </row>
    <row r="120" spans="1:16" ht="11.25">
      <c r="A120" s="23"/>
      <c r="B120" s="15">
        <v>2</v>
      </c>
      <c r="C120" s="23">
        <f aca="true" t="shared" si="52" ref="C120:C134">$A$119*100+B120</f>
        <v>802</v>
      </c>
      <c r="D120" s="24">
        <f>pol!D120</f>
        <v>1.5</v>
      </c>
      <c r="E120" s="25" t="str">
        <f>pol!E120</f>
        <v>10s</v>
      </c>
      <c r="F120" s="26">
        <f>pol!F120*25.4</f>
        <v>48.26</v>
      </c>
      <c r="G120" s="27">
        <f>pol!G120*25.4</f>
        <v>2.7685999999999997</v>
      </c>
      <c r="H120" s="25">
        <f t="shared" si="45"/>
        <v>42.7228</v>
      </c>
      <c r="I120" s="27">
        <f t="shared" si="46"/>
        <v>3.9567570944773762</v>
      </c>
      <c r="J120" s="28">
        <f t="shared" si="47"/>
        <v>14.33538290094229</v>
      </c>
      <c r="K120" s="28">
        <f t="shared" si="48"/>
        <v>3.1060543191647403</v>
      </c>
      <c r="L120" s="28">
        <f t="shared" si="27"/>
        <v>1.433538290094229</v>
      </c>
      <c r="M120" s="28">
        <f t="shared" si="28"/>
        <v>4.539592609258969</v>
      </c>
      <c r="N120" s="29">
        <f t="shared" si="49"/>
        <v>10.273386537548538</v>
      </c>
      <c r="O120" s="29">
        <f t="shared" si="50"/>
        <v>4.257516178014313</v>
      </c>
      <c r="P120" s="29">
        <f t="shared" si="51"/>
        <v>1.6113397453361589</v>
      </c>
    </row>
    <row r="121" spans="1:16" ht="11.25">
      <c r="A121" s="23"/>
      <c r="B121" s="15">
        <v>3</v>
      </c>
      <c r="C121" s="23">
        <f t="shared" si="52"/>
        <v>803</v>
      </c>
      <c r="D121" s="24">
        <f>pol!D121</f>
        <v>1.5</v>
      </c>
      <c r="E121" s="25">
        <f>pol!E121</f>
        <v>40</v>
      </c>
      <c r="F121" s="26">
        <f>pol!F121*25.4</f>
        <v>48.26</v>
      </c>
      <c r="G121" s="27">
        <f>pol!G121*25.4</f>
        <v>3.6829999999999994</v>
      </c>
      <c r="H121" s="25">
        <f t="shared" si="45"/>
        <v>40.894</v>
      </c>
      <c r="I121" s="27">
        <f t="shared" si="46"/>
        <v>5.15777542973343</v>
      </c>
      <c r="J121" s="28">
        <f t="shared" si="47"/>
        <v>13.134364565686237</v>
      </c>
      <c r="K121" s="28">
        <f t="shared" si="48"/>
        <v>4.048853712340743</v>
      </c>
      <c r="L121" s="28">
        <f t="shared" si="27"/>
        <v>1.3134364565686238</v>
      </c>
      <c r="M121" s="28">
        <f t="shared" si="28"/>
        <v>5.362290168909367</v>
      </c>
      <c r="N121" s="29">
        <f t="shared" si="49"/>
        <v>12.898780247851498</v>
      </c>
      <c r="O121" s="29">
        <f t="shared" si="50"/>
        <v>5.345536779051595</v>
      </c>
      <c r="P121" s="29">
        <f t="shared" si="51"/>
        <v>1.5814049995178336</v>
      </c>
    </row>
    <row r="122" spans="1:16" ht="11.25">
      <c r="A122" s="23"/>
      <c r="B122" s="15">
        <v>4</v>
      </c>
      <c r="C122" s="23">
        <f t="shared" si="52"/>
        <v>804</v>
      </c>
      <c r="D122" s="24">
        <f>pol!D122</f>
        <v>1.5</v>
      </c>
      <c r="E122" s="25" t="str">
        <f>pol!E122</f>
        <v>40s</v>
      </c>
      <c r="F122" s="26">
        <f>pol!F122*25.4</f>
        <v>48.26</v>
      </c>
      <c r="G122" s="27">
        <f>pol!G122*25.4</f>
        <v>3.6829999999999994</v>
      </c>
      <c r="H122" s="25">
        <f t="shared" si="45"/>
        <v>40.894</v>
      </c>
      <c r="I122" s="27">
        <f t="shared" si="46"/>
        <v>5.15777542973343</v>
      </c>
      <c r="J122" s="28">
        <f t="shared" si="47"/>
        <v>13.134364565686237</v>
      </c>
      <c r="K122" s="28">
        <f t="shared" si="48"/>
        <v>4.048853712340743</v>
      </c>
      <c r="L122" s="28">
        <f t="shared" si="27"/>
        <v>1.3134364565686238</v>
      </c>
      <c r="M122" s="28">
        <f t="shared" si="28"/>
        <v>5.362290168909367</v>
      </c>
      <c r="N122" s="29">
        <f t="shared" si="49"/>
        <v>12.898780247851498</v>
      </c>
      <c r="O122" s="29">
        <f t="shared" si="50"/>
        <v>5.345536779051595</v>
      </c>
      <c r="P122" s="29">
        <f t="shared" si="51"/>
        <v>1.5814049995178336</v>
      </c>
    </row>
    <row r="123" spans="1:16" ht="11.25">
      <c r="A123" s="23"/>
      <c r="B123" s="15">
        <v>5</v>
      </c>
      <c r="C123" s="23">
        <f t="shared" si="52"/>
        <v>805</v>
      </c>
      <c r="D123" s="24">
        <f>pol!D123</f>
        <v>1.5</v>
      </c>
      <c r="E123" s="25" t="str">
        <f>pol!E123</f>
        <v>STD</v>
      </c>
      <c r="F123" s="26">
        <f>pol!F123*25.4</f>
        <v>48.26</v>
      </c>
      <c r="G123" s="27">
        <f>pol!G123*25.4</f>
        <v>3.6829999999999994</v>
      </c>
      <c r="H123" s="25">
        <f t="shared" si="45"/>
        <v>40.894</v>
      </c>
      <c r="I123" s="27">
        <f t="shared" si="46"/>
        <v>5.15777542973343</v>
      </c>
      <c r="J123" s="28">
        <f t="shared" si="47"/>
        <v>13.134364565686237</v>
      </c>
      <c r="K123" s="28">
        <f t="shared" si="48"/>
        <v>4.048853712340743</v>
      </c>
      <c r="L123" s="28">
        <f t="shared" si="27"/>
        <v>1.3134364565686238</v>
      </c>
      <c r="M123" s="28">
        <f t="shared" si="28"/>
        <v>5.362290168909367</v>
      </c>
      <c r="N123" s="29">
        <f t="shared" si="49"/>
        <v>12.898780247851498</v>
      </c>
      <c r="O123" s="29">
        <f t="shared" si="50"/>
        <v>5.345536779051595</v>
      </c>
      <c r="P123" s="29">
        <f t="shared" si="51"/>
        <v>1.5814049995178336</v>
      </c>
    </row>
    <row r="124" spans="1:16" ht="11.25">
      <c r="A124" s="23"/>
      <c r="B124" s="15">
        <v>6</v>
      </c>
      <c r="C124" s="23">
        <f t="shared" si="52"/>
        <v>806</v>
      </c>
      <c r="D124" s="24">
        <f>pol!D124</f>
        <v>1.5</v>
      </c>
      <c r="E124" s="25">
        <f>pol!E124</f>
        <v>80</v>
      </c>
      <c r="F124" s="26">
        <f>pol!F124*25.4</f>
        <v>48.26</v>
      </c>
      <c r="G124" s="27">
        <f>pol!G124*25.4</f>
        <v>5.08</v>
      </c>
      <c r="H124" s="25">
        <f t="shared" si="45"/>
        <v>38.099999999999994</v>
      </c>
      <c r="I124" s="27">
        <f t="shared" si="46"/>
        <v>6.891221715725971</v>
      </c>
      <c r="J124" s="28">
        <f t="shared" si="47"/>
        <v>11.400918279693697</v>
      </c>
      <c r="K124" s="28">
        <f t="shared" si="48"/>
        <v>5.409609046844888</v>
      </c>
      <c r="L124" s="28">
        <f t="shared" si="27"/>
        <v>1.1400918279693697</v>
      </c>
      <c r="M124" s="28">
        <f t="shared" si="28"/>
        <v>6.549700874814257</v>
      </c>
      <c r="N124" s="29">
        <f t="shared" si="49"/>
        <v>16.28325745525632</v>
      </c>
      <c r="O124" s="29">
        <f t="shared" si="50"/>
        <v>6.748138191154712</v>
      </c>
      <c r="P124" s="29">
        <f t="shared" si="51"/>
        <v>1.537172241487596</v>
      </c>
    </row>
    <row r="125" spans="1:16" ht="11.25">
      <c r="A125" s="23"/>
      <c r="B125" s="15">
        <v>7</v>
      </c>
      <c r="C125" s="23">
        <f t="shared" si="52"/>
        <v>807</v>
      </c>
      <c r="D125" s="24">
        <f>pol!D125</f>
        <v>1.5</v>
      </c>
      <c r="E125" s="25" t="str">
        <f>pol!E125</f>
        <v>80s</v>
      </c>
      <c r="F125" s="26">
        <f>pol!F125*25.4</f>
        <v>48.26</v>
      </c>
      <c r="G125" s="27">
        <f>pol!G125*25.4</f>
        <v>5.08</v>
      </c>
      <c r="H125" s="25">
        <f t="shared" si="45"/>
        <v>38.099999999999994</v>
      </c>
      <c r="I125" s="27">
        <f t="shared" si="46"/>
        <v>6.891221715725971</v>
      </c>
      <c r="J125" s="28">
        <f t="shared" si="47"/>
        <v>11.400918279693697</v>
      </c>
      <c r="K125" s="28">
        <f t="shared" si="48"/>
        <v>5.409609046844888</v>
      </c>
      <c r="L125" s="28">
        <f t="shared" si="27"/>
        <v>1.1400918279693697</v>
      </c>
      <c r="M125" s="28">
        <f t="shared" si="28"/>
        <v>6.549700874814257</v>
      </c>
      <c r="N125" s="29">
        <f t="shared" si="49"/>
        <v>16.28325745525632</v>
      </c>
      <c r="O125" s="29">
        <f t="shared" si="50"/>
        <v>6.748138191154712</v>
      </c>
      <c r="P125" s="29">
        <f t="shared" si="51"/>
        <v>1.537172241487596</v>
      </c>
    </row>
    <row r="126" spans="1:16" ht="11.25">
      <c r="A126" s="23"/>
      <c r="B126" s="15">
        <v>8</v>
      </c>
      <c r="C126" s="23">
        <f t="shared" si="52"/>
        <v>808</v>
      </c>
      <c r="D126" s="24">
        <f>pol!D126</f>
        <v>1.5</v>
      </c>
      <c r="E126" s="25" t="str">
        <f>pol!E126</f>
        <v>XS</v>
      </c>
      <c r="F126" s="26">
        <f>pol!F126*25.4</f>
        <v>48.26</v>
      </c>
      <c r="G126" s="27">
        <f>pol!G126*25.4</f>
        <v>5.08</v>
      </c>
      <c r="H126" s="25">
        <f t="shared" si="45"/>
        <v>38.099999999999994</v>
      </c>
      <c r="I126" s="27">
        <f t="shared" si="46"/>
        <v>6.891221715725971</v>
      </c>
      <c r="J126" s="28">
        <f t="shared" si="47"/>
        <v>11.400918279693697</v>
      </c>
      <c r="K126" s="28">
        <f t="shared" si="48"/>
        <v>5.409609046844888</v>
      </c>
      <c r="L126" s="28">
        <f t="shared" si="27"/>
        <v>1.1400918279693697</v>
      </c>
      <c r="M126" s="28">
        <f t="shared" si="28"/>
        <v>6.549700874814257</v>
      </c>
      <c r="N126" s="29">
        <f t="shared" si="49"/>
        <v>16.28325745525632</v>
      </c>
      <c r="O126" s="29">
        <f t="shared" si="50"/>
        <v>6.748138191154712</v>
      </c>
      <c r="P126" s="29">
        <f t="shared" si="51"/>
        <v>1.537172241487596</v>
      </c>
    </row>
    <row r="127" spans="1:16" ht="11.25">
      <c r="A127" s="23"/>
      <c r="B127" s="15">
        <v>9</v>
      </c>
      <c r="C127" s="23">
        <f t="shared" si="52"/>
        <v>809</v>
      </c>
      <c r="D127" s="24">
        <f>pol!D127</f>
        <v>1.5</v>
      </c>
      <c r="E127" s="25">
        <f>pol!E127</f>
        <v>160</v>
      </c>
      <c r="F127" s="26">
        <f>pol!F127*25.4</f>
        <v>48.26</v>
      </c>
      <c r="G127" s="27">
        <f>pol!G127*25.4</f>
        <v>7.1374</v>
      </c>
      <c r="H127" s="25">
        <f t="shared" si="45"/>
        <v>33.9852</v>
      </c>
      <c r="I127" s="27">
        <f t="shared" si="46"/>
        <v>9.220839753325462</v>
      </c>
      <c r="J127" s="28">
        <f t="shared" si="47"/>
        <v>9.071300242094207</v>
      </c>
      <c r="K127" s="28">
        <f t="shared" si="48"/>
        <v>7.238359206360488</v>
      </c>
      <c r="L127" s="28">
        <f t="shared" si="27"/>
        <v>0.9071300242094207</v>
      </c>
      <c r="M127" s="28">
        <f t="shared" si="28"/>
        <v>8.145489230569908</v>
      </c>
      <c r="N127" s="29">
        <f t="shared" si="49"/>
        <v>20.078502001325877</v>
      </c>
      <c r="O127" s="29">
        <f t="shared" si="50"/>
        <v>8.320970576595888</v>
      </c>
      <c r="P127" s="29">
        <f t="shared" si="51"/>
        <v>1.4756399923084218</v>
      </c>
    </row>
    <row r="128" spans="1:16" ht="11.25">
      <c r="A128" s="23"/>
      <c r="B128" s="15">
        <v>10</v>
      </c>
      <c r="C128" s="23">
        <f t="shared" si="52"/>
        <v>810</v>
      </c>
      <c r="D128" s="24">
        <f>pol!D128</f>
        <v>1.5</v>
      </c>
      <c r="E128" s="25" t="str">
        <f>pol!E128</f>
        <v>XXS</v>
      </c>
      <c r="F128" s="26">
        <f>pol!F128*25.4</f>
        <v>48.26</v>
      </c>
      <c r="G128" s="27">
        <f>pol!G128*25.4</f>
        <v>10.16</v>
      </c>
      <c r="H128" s="25">
        <f t="shared" si="45"/>
        <v>27.939999999999998</v>
      </c>
      <c r="I128" s="27">
        <f t="shared" si="46"/>
        <v>12.160979498339946</v>
      </c>
      <c r="J128" s="28">
        <f t="shared" si="47"/>
        <v>6.131160497079722</v>
      </c>
      <c r="K128" s="28">
        <f t="shared" si="48"/>
        <v>9.546368906196859</v>
      </c>
      <c r="L128" s="28">
        <f t="shared" si="27"/>
        <v>0.6131160497079722</v>
      </c>
      <c r="M128" s="28">
        <f t="shared" si="28"/>
        <v>10.159484955904832</v>
      </c>
      <c r="N128" s="29">
        <f t="shared" si="49"/>
        <v>23.635404818611352</v>
      </c>
      <c r="O128" s="29">
        <f t="shared" si="50"/>
        <v>9.79502893436028</v>
      </c>
      <c r="P128" s="29">
        <f t="shared" si="51"/>
        <v>1.3941106484063592</v>
      </c>
    </row>
    <row r="129" spans="1:16" ht="11.25" customHeight="1" hidden="1">
      <c r="A129" s="23"/>
      <c r="B129" s="15">
        <v>11</v>
      </c>
      <c r="C129" s="23">
        <f t="shared" si="52"/>
        <v>811</v>
      </c>
      <c r="D129" s="24"/>
      <c r="E129" s="25"/>
      <c r="F129" s="26"/>
      <c r="G129" s="27"/>
      <c r="H129" s="25"/>
      <c r="I129" s="27"/>
      <c r="J129" s="28"/>
      <c r="K129" s="28"/>
      <c r="L129" s="28"/>
      <c r="M129" s="28"/>
      <c r="N129" s="29"/>
      <c r="O129" s="29"/>
      <c r="P129" s="29"/>
    </row>
    <row r="130" spans="1:16" ht="11.25" customHeight="1" hidden="1">
      <c r="A130" s="23"/>
      <c r="B130" s="15">
        <v>12</v>
      </c>
      <c r="C130" s="23">
        <f t="shared" si="52"/>
        <v>812</v>
      </c>
      <c r="D130" s="24"/>
      <c r="E130" s="25"/>
      <c r="F130" s="26"/>
      <c r="G130" s="27"/>
      <c r="H130" s="25"/>
      <c r="I130" s="27"/>
      <c r="J130" s="28"/>
      <c r="K130" s="28"/>
      <c r="L130" s="28"/>
      <c r="M130" s="28"/>
      <c r="N130" s="29"/>
      <c r="O130" s="29"/>
      <c r="P130" s="29"/>
    </row>
    <row r="131" spans="1:16" ht="11.25" customHeight="1" hidden="1">
      <c r="A131" s="23"/>
      <c r="B131" s="15">
        <v>13</v>
      </c>
      <c r="C131" s="23">
        <f t="shared" si="52"/>
        <v>813</v>
      </c>
      <c r="D131" s="24"/>
      <c r="E131" s="25"/>
      <c r="F131" s="26"/>
      <c r="G131" s="27"/>
      <c r="H131" s="25"/>
      <c r="I131" s="27"/>
      <c r="J131" s="28"/>
      <c r="K131" s="28"/>
      <c r="L131" s="28"/>
      <c r="M131" s="28"/>
      <c r="N131" s="29"/>
      <c r="O131" s="29"/>
      <c r="P131" s="29"/>
    </row>
    <row r="132" spans="1:16" ht="11.25" customHeight="1" hidden="1">
      <c r="A132" s="23"/>
      <c r="B132" s="15">
        <v>14</v>
      </c>
      <c r="C132" s="23">
        <f t="shared" si="52"/>
        <v>814</v>
      </c>
      <c r="D132" s="24"/>
      <c r="E132" s="25"/>
      <c r="F132" s="26"/>
      <c r="G132" s="27"/>
      <c r="H132" s="25"/>
      <c r="I132" s="27"/>
      <c r="J132" s="28"/>
      <c r="K132" s="28"/>
      <c r="L132" s="28"/>
      <c r="M132" s="28"/>
      <c r="N132" s="29"/>
      <c r="O132" s="29"/>
      <c r="P132" s="29"/>
    </row>
    <row r="133" spans="1:16" ht="11.25" customHeight="1" hidden="1">
      <c r="A133" s="23"/>
      <c r="B133" s="15">
        <v>15</v>
      </c>
      <c r="C133" s="23">
        <f t="shared" si="52"/>
        <v>815</v>
      </c>
      <c r="D133" s="24"/>
      <c r="E133" s="25"/>
      <c r="F133" s="26"/>
      <c r="G133" s="27"/>
      <c r="H133" s="25"/>
      <c r="I133" s="27"/>
      <c r="J133" s="28"/>
      <c r="K133" s="28"/>
      <c r="L133" s="28"/>
      <c r="M133" s="28"/>
      <c r="N133" s="29"/>
      <c r="O133" s="29"/>
      <c r="P133" s="29"/>
    </row>
    <row r="134" spans="1:16" ht="11.25" customHeight="1" hidden="1">
      <c r="A134" s="23"/>
      <c r="B134" s="15">
        <v>16</v>
      </c>
      <c r="C134" s="23">
        <f t="shared" si="52"/>
        <v>816</v>
      </c>
      <c r="D134" s="24"/>
      <c r="E134" s="25"/>
      <c r="F134" s="26"/>
      <c r="G134" s="27"/>
      <c r="H134" s="25"/>
      <c r="I134" s="27"/>
      <c r="J134" s="28"/>
      <c r="K134" s="28"/>
      <c r="L134" s="28"/>
      <c r="M134" s="28"/>
      <c r="N134" s="29"/>
      <c r="O134" s="29"/>
      <c r="P134" s="29"/>
    </row>
    <row r="135" spans="1:16" ht="11.25">
      <c r="A135" s="23">
        <v>9</v>
      </c>
      <c r="B135" s="15">
        <v>1</v>
      </c>
      <c r="C135" s="23">
        <f>$A$135*100+B135</f>
        <v>901</v>
      </c>
      <c r="D135" s="24">
        <f>pol!D135</f>
        <v>2</v>
      </c>
      <c r="E135" s="25" t="str">
        <f>pol!E135</f>
        <v>5s</v>
      </c>
      <c r="F135" s="26">
        <f>pol!F135*25.4</f>
        <v>60.324999999999996</v>
      </c>
      <c r="G135" s="27">
        <f>pol!G135*25.4</f>
        <v>1.651</v>
      </c>
      <c r="H135" s="25">
        <f aca="true" t="shared" si="53" ref="H135:H144">F135-2*G135</f>
        <v>57.022999999999996</v>
      </c>
      <c r="I135" s="27">
        <f aca="true" t="shared" si="54" ref="I135:I144">PI()*(F135^2-H135^2)/400</f>
        <v>3.0432851194595707</v>
      </c>
      <c r="J135" s="28">
        <f aca="true" t="shared" si="55" ref="J135:J144">PI()*H135^2/400</f>
        <v>25.538183623383656</v>
      </c>
      <c r="K135" s="28">
        <f aca="true" t="shared" si="56" ref="K135:K144">0.785*I135</f>
        <v>2.388978818775763</v>
      </c>
      <c r="L135" s="28">
        <f t="shared" si="27"/>
        <v>2.5538183623383657</v>
      </c>
      <c r="M135" s="28">
        <f t="shared" si="28"/>
        <v>4.942797181114129</v>
      </c>
      <c r="N135" s="29">
        <f aca="true" t="shared" si="57" ref="N135:N234">PI()*(($F135/10)^4-($H135/10)^4)/64</f>
        <v>13.106531533318341</v>
      </c>
      <c r="O135" s="29">
        <f aca="true" t="shared" si="58" ref="O135:O234">PI()*(($F135/10)^4-($H135/10)^4)/(32*($F135/10))</f>
        <v>4.345306766122948</v>
      </c>
      <c r="P135" s="29">
        <f aca="true" t="shared" si="59" ref="P135:P144">SQRT(N135/I135)</f>
        <v>2.075260247836402</v>
      </c>
    </row>
    <row r="136" spans="1:16" ht="11.25">
      <c r="A136" s="23"/>
      <c r="B136" s="15">
        <v>2</v>
      </c>
      <c r="C136" s="23">
        <f aca="true" t="shared" si="60" ref="C136:C150">$A$135*100+B136</f>
        <v>902</v>
      </c>
      <c r="D136" s="24">
        <f>pol!D136</f>
        <v>2</v>
      </c>
      <c r="E136" s="25" t="str">
        <f>pol!E136</f>
        <v>10s</v>
      </c>
      <c r="F136" s="26">
        <f>pol!F136*25.4</f>
        <v>60.324999999999996</v>
      </c>
      <c r="G136" s="27">
        <f>pol!G136*25.4</f>
        <v>2.7685999999999997</v>
      </c>
      <c r="H136" s="25">
        <f t="shared" si="53"/>
        <v>54.7878</v>
      </c>
      <c r="I136" s="27">
        <f t="shared" si="54"/>
        <v>5.006148283688294</v>
      </c>
      <c r="J136" s="28">
        <f t="shared" si="55"/>
        <v>23.575320459154938</v>
      </c>
      <c r="K136" s="28">
        <f t="shared" si="56"/>
        <v>3.9298264026953107</v>
      </c>
      <c r="L136" s="28">
        <f t="shared" si="27"/>
        <v>2.357532045915494</v>
      </c>
      <c r="M136" s="28">
        <f t="shared" si="28"/>
        <v>6.287358448610805</v>
      </c>
      <c r="N136" s="29">
        <f t="shared" si="57"/>
        <v>20.778045527952195</v>
      </c>
      <c r="O136" s="29">
        <f t="shared" si="58"/>
        <v>6.88870137685941</v>
      </c>
      <c r="P136" s="29">
        <f t="shared" si="59"/>
        <v>2.0372789226441244</v>
      </c>
    </row>
    <row r="137" spans="1:16" ht="11.25">
      <c r="A137" s="23"/>
      <c r="B137" s="15">
        <v>3</v>
      </c>
      <c r="C137" s="23">
        <f t="shared" si="60"/>
        <v>903</v>
      </c>
      <c r="D137" s="24">
        <f>pol!D137</f>
        <v>2</v>
      </c>
      <c r="E137" s="25">
        <f>pol!E137</f>
        <v>40</v>
      </c>
      <c r="F137" s="26">
        <f>pol!F137*25.4</f>
        <v>60.324999999999996</v>
      </c>
      <c r="G137" s="27">
        <f>pol!G137*25.4</f>
        <v>3.9115999999999995</v>
      </c>
      <c r="H137" s="25">
        <f t="shared" si="53"/>
        <v>52.501799999999996</v>
      </c>
      <c r="I137" s="27">
        <f t="shared" si="54"/>
        <v>6.932447436225342</v>
      </c>
      <c r="J137" s="28">
        <f t="shared" si="55"/>
        <v>21.649021306617886</v>
      </c>
      <c r="K137" s="28">
        <f t="shared" si="56"/>
        <v>5.441971237436894</v>
      </c>
      <c r="L137" s="28">
        <f t="shared" si="27"/>
        <v>2.1649021306617886</v>
      </c>
      <c r="M137" s="28">
        <f t="shared" si="28"/>
        <v>7.606873368098682</v>
      </c>
      <c r="N137" s="29">
        <f t="shared" si="57"/>
        <v>27.71048560081697</v>
      </c>
      <c r="O137" s="29">
        <f t="shared" si="58"/>
        <v>9.187065263428751</v>
      </c>
      <c r="P137" s="29">
        <f t="shared" si="59"/>
        <v>1.9993037269634648</v>
      </c>
    </row>
    <row r="138" spans="1:16" ht="11.25">
      <c r="A138" s="23"/>
      <c r="B138" s="15">
        <v>4</v>
      </c>
      <c r="C138" s="23">
        <f t="shared" si="60"/>
        <v>904</v>
      </c>
      <c r="D138" s="24">
        <f>pol!D138</f>
        <v>2</v>
      </c>
      <c r="E138" s="25" t="str">
        <f>pol!E138</f>
        <v>40s</v>
      </c>
      <c r="F138" s="26">
        <f>pol!F138*25.4</f>
        <v>60.324999999999996</v>
      </c>
      <c r="G138" s="27">
        <f>pol!G138*25.4</f>
        <v>3.9115999999999995</v>
      </c>
      <c r="H138" s="25">
        <f t="shared" si="53"/>
        <v>52.501799999999996</v>
      </c>
      <c r="I138" s="27">
        <f t="shared" si="54"/>
        <v>6.932447436225342</v>
      </c>
      <c r="J138" s="28">
        <f t="shared" si="55"/>
        <v>21.649021306617886</v>
      </c>
      <c r="K138" s="28">
        <f t="shared" si="56"/>
        <v>5.441971237436894</v>
      </c>
      <c r="L138" s="28">
        <f aca="true" t="shared" si="61" ref="L138:L201">J138*0.1</f>
        <v>2.1649021306617886</v>
      </c>
      <c r="M138" s="28">
        <f aca="true" t="shared" si="62" ref="M138:M201">L138+K138</f>
        <v>7.606873368098682</v>
      </c>
      <c r="N138" s="29">
        <f t="shared" si="57"/>
        <v>27.71048560081697</v>
      </c>
      <c r="O138" s="29">
        <f t="shared" si="58"/>
        <v>9.187065263428751</v>
      </c>
      <c r="P138" s="29">
        <f t="shared" si="59"/>
        <v>1.9993037269634648</v>
      </c>
    </row>
    <row r="139" spans="1:16" ht="11.25">
      <c r="A139" s="23"/>
      <c r="B139" s="15">
        <v>5</v>
      </c>
      <c r="C139" s="23">
        <f t="shared" si="60"/>
        <v>905</v>
      </c>
      <c r="D139" s="24">
        <f>pol!D139</f>
        <v>2</v>
      </c>
      <c r="E139" s="25" t="str">
        <f>pol!E139</f>
        <v>STD</v>
      </c>
      <c r="F139" s="26">
        <f>pol!F139*25.4</f>
        <v>60.324999999999996</v>
      </c>
      <c r="G139" s="27">
        <f>pol!G139*25.4</f>
        <v>3.9115999999999995</v>
      </c>
      <c r="H139" s="25">
        <f t="shared" si="53"/>
        <v>52.501799999999996</v>
      </c>
      <c r="I139" s="27">
        <f t="shared" si="54"/>
        <v>6.932447436225342</v>
      </c>
      <c r="J139" s="28">
        <f t="shared" si="55"/>
        <v>21.649021306617886</v>
      </c>
      <c r="K139" s="28">
        <f t="shared" si="56"/>
        <v>5.441971237436894</v>
      </c>
      <c r="L139" s="28">
        <f t="shared" si="61"/>
        <v>2.1649021306617886</v>
      </c>
      <c r="M139" s="28">
        <f t="shared" si="62"/>
        <v>7.606873368098682</v>
      </c>
      <c r="N139" s="29">
        <f t="shared" si="57"/>
        <v>27.71048560081697</v>
      </c>
      <c r="O139" s="29">
        <f t="shared" si="58"/>
        <v>9.187065263428751</v>
      </c>
      <c r="P139" s="29">
        <f t="shared" si="59"/>
        <v>1.9993037269634648</v>
      </c>
    </row>
    <row r="140" spans="1:16" ht="11.25">
      <c r="A140" s="23"/>
      <c r="B140" s="15">
        <v>6</v>
      </c>
      <c r="C140" s="23">
        <f t="shared" si="60"/>
        <v>906</v>
      </c>
      <c r="D140" s="24">
        <f>pol!D140</f>
        <v>2</v>
      </c>
      <c r="E140" s="25">
        <f>pol!E140</f>
        <v>80</v>
      </c>
      <c r="F140" s="26">
        <f>pol!F140*25.4</f>
        <v>60.324999999999996</v>
      </c>
      <c r="G140" s="27">
        <f>pol!G140*25.4</f>
        <v>5.5371999999999995</v>
      </c>
      <c r="H140" s="25">
        <f t="shared" si="53"/>
        <v>49.2506</v>
      </c>
      <c r="I140" s="27">
        <f t="shared" si="54"/>
        <v>9.530681242643999</v>
      </c>
      <c r="J140" s="28">
        <f t="shared" si="55"/>
        <v>19.05078750019923</v>
      </c>
      <c r="K140" s="28">
        <f t="shared" si="56"/>
        <v>7.48158477547554</v>
      </c>
      <c r="L140" s="28">
        <f t="shared" si="61"/>
        <v>1.905078750019923</v>
      </c>
      <c r="M140" s="28">
        <f t="shared" si="62"/>
        <v>9.386663525495463</v>
      </c>
      <c r="N140" s="29">
        <f t="shared" si="57"/>
        <v>36.12561375530682</v>
      </c>
      <c r="O140" s="29">
        <f t="shared" si="58"/>
        <v>11.976995857540597</v>
      </c>
      <c r="P140" s="29">
        <f t="shared" si="59"/>
        <v>1.9469089644485176</v>
      </c>
    </row>
    <row r="141" spans="1:16" ht="11.25">
      <c r="A141" s="23"/>
      <c r="B141" s="15">
        <v>7</v>
      </c>
      <c r="C141" s="23">
        <f t="shared" si="60"/>
        <v>907</v>
      </c>
      <c r="D141" s="24">
        <f>pol!D141</f>
        <v>2</v>
      </c>
      <c r="E141" s="25" t="str">
        <f>pol!E141</f>
        <v>80s</v>
      </c>
      <c r="F141" s="26">
        <f>pol!F141*25.4</f>
        <v>60.324999999999996</v>
      </c>
      <c r="G141" s="27">
        <f>pol!G141*25.4</f>
        <v>5.5371999999999995</v>
      </c>
      <c r="H141" s="25">
        <f t="shared" si="53"/>
        <v>49.2506</v>
      </c>
      <c r="I141" s="27">
        <f t="shared" si="54"/>
        <v>9.530681242643999</v>
      </c>
      <c r="J141" s="28">
        <f t="shared" si="55"/>
        <v>19.05078750019923</v>
      </c>
      <c r="K141" s="28">
        <f t="shared" si="56"/>
        <v>7.48158477547554</v>
      </c>
      <c r="L141" s="28">
        <f t="shared" si="61"/>
        <v>1.905078750019923</v>
      </c>
      <c r="M141" s="28">
        <f t="shared" si="62"/>
        <v>9.386663525495463</v>
      </c>
      <c r="N141" s="29">
        <f t="shared" si="57"/>
        <v>36.12561375530682</v>
      </c>
      <c r="O141" s="29">
        <f t="shared" si="58"/>
        <v>11.976995857540597</v>
      </c>
      <c r="P141" s="29">
        <f t="shared" si="59"/>
        <v>1.9469089644485176</v>
      </c>
    </row>
    <row r="142" spans="1:16" ht="11.25">
      <c r="A142" s="23"/>
      <c r="B142" s="15">
        <v>8</v>
      </c>
      <c r="C142" s="23">
        <f t="shared" si="60"/>
        <v>908</v>
      </c>
      <c r="D142" s="24">
        <f>pol!D142</f>
        <v>2</v>
      </c>
      <c r="E142" s="25" t="str">
        <f>pol!E142</f>
        <v>XS</v>
      </c>
      <c r="F142" s="26">
        <f>pol!F142*25.4</f>
        <v>60.324999999999996</v>
      </c>
      <c r="G142" s="27">
        <f>pol!G142*25.4</f>
        <v>5.5371999999999995</v>
      </c>
      <c r="H142" s="25">
        <f t="shared" si="53"/>
        <v>49.2506</v>
      </c>
      <c r="I142" s="27">
        <f t="shared" si="54"/>
        <v>9.530681242643999</v>
      </c>
      <c r="J142" s="28">
        <f t="shared" si="55"/>
        <v>19.05078750019923</v>
      </c>
      <c r="K142" s="28">
        <f t="shared" si="56"/>
        <v>7.48158477547554</v>
      </c>
      <c r="L142" s="28">
        <f t="shared" si="61"/>
        <v>1.905078750019923</v>
      </c>
      <c r="M142" s="28">
        <f t="shared" si="62"/>
        <v>9.386663525495463</v>
      </c>
      <c r="N142" s="29">
        <f t="shared" si="57"/>
        <v>36.12561375530682</v>
      </c>
      <c r="O142" s="29">
        <f t="shared" si="58"/>
        <v>11.976995857540597</v>
      </c>
      <c r="P142" s="29">
        <f t="shared" si="59"/>
        <v>1.9469089644485176</v>
      </c>
    </row>
    <row r="143" spans="1:16" ht="11.25">
      <c r="A143" s="23"/>
      <c r="B143" s="15">
        <v>9</v>
      </c>
      <c r="C143" s="23">
        <f t="shared" si="60"/>
        <v>909</v>
      </c>
      <c r="D143" s="24">
        <f>pol!D143</f>
        <v>2</v>
      </c>
      <c r="E143" s="25">
        <f>pol!E143</f>
        <v>160</v>
      </c>
      <c r="F143" s="26">
        <f>pol!F143*25.4</f>
        <v>60.324999999999996</v>
      </c>
      <c r="G143" s="27">
        <f>pol!G143*25.4</f>
        <v>8.712200000000001</v>
      </c>
      <c r="H143" s="25">
        <f t="shared" si="53"/>
        <v>42.9006</v>
      </c>
      <c r="I143" s="27">
        <f t="shared" si="54"/>
        <v>14.126518078058302</v>
      </c>
      <c r="J143" s="28">
        <f t="shared" si="55"/>
        <v>14.454950664784926</v>
      </c>
      <c r="K143" s="28">
        <f t="shared" si="56"/>
        <v>11.089316691275767</v>
      </c>
      <c r="L143" s="28">
        <f t="shared" si="61"/>
        <v>1.4454950664784927</v>
      </c>
      <c r="M143" s="28">
        <f t="shared" si="62"/>
        <v>12.53481175775426</v>
      </c>
      <c r="N143" s="29">
        <f t="shared" si="57"/>
        <v>48.379502358626034</v>
      </c>
      <c r="O143" s="29">
        <f t="shared" si="58"/>
        <v>16.039619513842034</v>
      </c>
      <c r="P143" s="29">
        <f t="shared" si="59"/>
        <v>1.8506024534864318</v>
      </c>
    </row>
    <row r="144" spans="1:16" ht="11.25">
      <c r="A144" s="23"/>
      <c r="B144" s="15">
        <v>10</v>
      </c>
      <c r="C144" s="23">
        <f t="shared" si="60"/>
        <v>910</v>
      </c>
      <c r="D144" s="24">
        <f>pol!D144</f>
        <v>2</v>
      </c>
      <c r="E144" s="25" t="str">
        <f>pol!E144</f>
        <v>XXS</v>
      </c>
      <c r="F144" s="26">
        <f>pol!F144*25.4</f>
        <v>60.324999999999996</v>
      </c>
      <c r="G144" s="27">
        <f>pol!G144*25.4</f>
        <v>11.074399999999999</v>
      </c>
      <c r="H144" s="25">
        <f t="shared" si="53"/>
        <v>38.176199999999994</v>
      </c>
      <c r="I144" s="27">
        <f t="shared" si="54"/>
        <v>17.13490118635764</v>
      </c>
      <c r="J144" s="28">
        <f t="shared" si="55"/>
        <v>11.446567556485588</v>
      </c>
      <c r="K144" s="28">
        <f t="shared" si="56"/>
        <v>13.450897431290748</v>
      </c>
      <c r="L144" s="28">
        <f t="shared" si="61"/>
        <v>1.144656755648559</v>
      </c>
      <c r="M144" s="28">
        <f t="shared" si="62"/>
        <v>14.595554186939307</v>
      </c>
      <c r="N144" s="29">
        <f t="shared" si="57"/>
        <v>54.580313419151274</v>
      </c>
      <c r="O144" s="29">
        <f t="shared" si="58"/>
        <v>18.09542094294282</v>
      </c>
      <c r="P144" s="29">
        <f t="shared" si="59"/>
        <v>1.7847492596020316</v>
      </c>
    </row>
    <row r="145" spans="1:16" ht="11.25" customHeight="1" hidden="1">
      <c r="A145" s="23"/>
      <c r="B145" s="15">
        <v>11</v>
      </c>
      <c r="C145" s="23">
        <f t="shared" si="60"/>
        <v>911</v>
      </c>
      <c r="D145" s="24"/>
      <c r="E145" s="25"/>
      <c r="F145" s="26"/>
      <c r="G145" s="27"/>
      <c r="H145" s="25"/>
      <c r="I145" s="27"/>
      <c r="J145" s="28"/>
      <c r="K145" s="28"/>
      <c r="L145" s="28"/>
      <c r="M145" s="28"/>
      <c r="N145" s="29"/>
      <c r="O145" s="29"/>
      <c r="P145" s="29"/>
    </row>
    <row r="146" spans="1:16" ht="11.25" customHeight="1" hidden="1">
      <c r="A146" s="23"/>
      <c r="B146" s="15">
        <v>12</v>
      </c>
      <c r="C146" s="23">
        <f t="shared" si="60"/>
        <v>912</v>
      </c>
      <c r="D146" s="24"/>
      <c r="E146" s="25"/>
      <c r="F146" s="26"/>
      <c r="G146" s="27"/>
      <c r="H146" s="25"/>
      <c r="I146" s="27"/>
      <c r="J146" s="28"/>
      <c r="K146" s="28"/>
      <c r="L146" s="28"/>
      <c r="M146" s="28"/>
      <c r="N146" s="29"/>
      <c r="O146" s="29"/>
      <c r="P146" s="29"/>
    </row>
    <row r="147" spans="1:16" ht="11.25" customHeight="1" hidden="1">
      <c r="A147" s="23"/>
      <c r="B147" s="15">
        <v>13</v>
      </c>
      <c r="C147" s="23">
        <f t="shared" si="60"/>
        <v>913</v>
      </c>
      <c r="D147" s="24"/>
      <c r="E147" s="25"/>
      <c r="F147" s="26"/>
      <c r="G147" s="27"/>
      <c r="H147" s="25"/>
      <c r="I147" s="27"/>
      <c r="J147" s="28"/>
      <c r="K147" s="28"/>
      <c r="L147" s="28"/>
      <c r="M147" s="28"/>
      <c r="N147" s="29"/>
      <c r="O147" s="29"/>
      <c r="P147" s="29"/>
    </row>
    <row r="148" spans="1:16" ht="11.25" customHeight="1" hidden="1">
      <c r="A148" s="23"/>
      <c r="B148" s="15">
        <v>14</v>
      </c>
      <c r="C148" s="23">
        <f t="shared" si="60"/>
        <v>914</v>
      </c>
      <c r="D148" s="24"/>
      <c r="E148" s="25"/>
      <c r="F148" s="26"/>
      <c r="G148" s="27"/>
      <c r="H148" s="25"/>
      <c r="I148" s="27"/>
      <c r="J148" s="28"/>
      <c r="K148" s="28"/>
      <c r="L148" s="28"/>
      <c r="M148" s="28"/>
      <c r="N148" s="29"/>
      <c r="O148" s="29"/>
      <c r="P148" s="29"/>
    </row>
    <row r="149" spans="1:16" ht="11.25" customHeight="1" hidden="1">
      <c r="A149" s="23"/>
      <c r="B149" s="15">
        <v>15</v>
      </c>
      <c r="C149" s="23">
        <f t="shared" si="60"/>
        <v>915</v>
      </c>
      <c r="D149" s="24"/>
      <c r="E149" s="25"/>
      <c r="F149" s="26"/>
      <c r="G149" s="27"/>
      <c r="H149" s="25"/>
      <c r="I149" s="27"/>
      <c r="J149" s="28"/>
      <c r="K149" s="28"/>
      <c r="L149" s="28"/>
      <c r="M149" s="28"/>
      <c r="N149" s="29"/>
      <c r="O149" s="29"/>
      <c r="P149" s="29"/>
    </row>
    <row r="150" spans="1:16" ht="11.25" customHeight="1" hidden="1">
      <c r="A150" s="23"/>
      <c r="B150" s="15">
        <v>16</v>
      </c>
      <c r="C150" s="23">
        <f t="shared" si="60"/>
        <v>916</v>
      </c>
      <c r="D150" s="24"/>
      <c r="E150" s="25"/>
      <c r="F150" s="26"/>
      <c r="G150" s="27"/>
      <c r="H150" s="25"/>
      <c r="I150" s="27"/>
      <c r="J150" s="28"/>
      <c r="K150" s="28"/>
      <c r="L150" s="28"/>
      <c r="M150" s="28"/>
      <c r="N150" s="29"/>
      <c r="O150" s="29"/>
      <c r="P150" s="29"/>
    </row>
    <row r="151" spans="1:16" ht="11.25">
      <c r="A151" s="23">
        <v>10</v>
      </c>
      <c r="B151" s="15">
        <v>1</v>
      </c>
      <c r="C151" s="23">
        <f>$A$151*100+B151</f>
        <v>1001</v>
      </c>
      <c r="D151" s="24">
        <f>pol!D151</f>
        <v>2.5</v>
      </c>
      <c r="E151" s="25" t="str">
        <f>pol!E151</f>
        <v>5s</v>
      </c>
      <c r="F151" s="26">
        <f>pol!F151*25.4</f>
        <v>73.02499999999999</v>
      </c>
      <c r="G151" s="27">
        <f>pol!G151*25.4</f>
        <v>2.1082</v>
      </c>
      <c r="H151" s="25">
        <f aca="true" t="shared" si="63" ref="H151:H169">F151-2*G151</f>
        <v>68.80859999999998</v>
      </c>
      <c r="I151" s="27">
        <f aca="true" t="shared" si="64" ref="I151:I169">PI()*(F151^2-H151^2)/400</f>
        <v>4.696894575045514</v>
      </c>
      <c r="J151" s="28">
        <f aca="true" t="shared" si="65" ref="J151:J169">PI()*H151^2/400</f>
        <v>37.18564549410702</v>
      </c>
      <c r="K151" s="28">
        <f aca="true" t="shared" si="66" ref="K151:K169">0.785*I151</f>
        <v>3.6870622414107284</v>
      </c>
      <c r="L151" s="28">
        <f t="shared" si="61"/>
        <v>3.7185645494107025</v>
      </c>
      <c r="M151" s="28">
        <f t="shared" si="62"/>
        <v>7.405626790821431</v>
      </c>
      <c r="N151" s="29">
        <f t="shared" si="57"/>
        <v>29.55307807064103</v>
      </c>
      <c r="O151" s="29">
        <f t="shared" si="58"/>
        <v>8.093961813253278</v>
      </c>
      <c r="P151" s="29">
        <f aca="true" t="shared" si="67" ref="P151:P169">SQRT(N151/I151)</f>
        <v>2.508395161622267</v>
      </c>
    </row>
    <row r="152" spans="1:16" ht="11.25">
      <c r="A152" s="23"/>
      <c r="B152" s="15">
        <v>2</v>
      </c>
      <c r="C152" s="23">
        <f aca="true" t="shared" si="68" ref="C152:C166">$A$151*100+B152</f>
        <v>1002</v>
      </c>
      <c r="D152" s="24">
        <f>pol!D152</f>
        <v>2.5</v>
      </c>
      <c r="E152" s="25" t="str">
        <f>pol!E152</f>
        <v>10s</v>
      </c>
      <c r="F152" s="26">
        <f>pol!F152*25.4</f>
        <v>73.02499999999999</v>
      </c>
      <c r="G152" s="27">
        <f>pol!G152*25.4</f>
        <v>3.0479999999999996</v>
      </c>
      <c r="H152" s="25">
        <f t="shared" si="63"/>
        <v>66.92899999999999</v>
      </c>
      <c r="I152" s="27">
        <f t="shared" si="64"/>
        <v>6.70069970358531</v>
      </c>
      <c r="J152" s="28">
        <f t="shared" si="65"/>
        <v>35.181840365567226</v>
      </c>
      <c r="K152" s="28">
        <f t="shared" si="66"/>
        <v>5.260049267314469</v>
      </c>
      <c r="L152" s="28">
        <f t="shared" si="61"/>
        <v>3.5181840365567227</v>
      </c>
      <c r="M152" s="28">
        <f t="shared" si="62"/>
        <v>8.778233303871191</v>
      </c>
      <c r="N152" s="29">
        <f t="shared" si="57"/>
        <v>41.09263422056455</v>
      </c>
      <c r="O152" s="29">
        <f t="shared" si="58"/>
        <v>11.25440170368081</v>
      </c>
      <c r="P152" s="29">
        <f t="shared" si="67"/>
        <v>2.4764063764354187</v>
      </c>
    </row>
    <row r="153" spans="1:16" ht="11.25">
      <c r="A153" s="23"/>
      <c r="B153" s="15">
        <v>3</v>
      </c>
      <c r="C153" s="23">
        <f t="shared" si="68"/>
        <v>1003</v>
      </c>
      <c r="D153" s="24">
        <f>pol!D153</f>
        <v>2.5</v>
      </c>
      <c r="E153" s="25">
        <f>pol!E153</f>
        <v>40</v>
      </c>
      <c r="F153" s="26">
        <f>pol!F153*25.4</f>
        <v>73.02499999999999</v>
      </c>
      <c r="G153" s="27">
        <f>pol!G153*25.4</f>
        <v>5.1562</v>
      </c>
      <c r="H153" s="25">
        <f t="shared" si="63"/>
        <v>62.712599999999995</v>
      </c>
      <c r="I153" s="27">
        <f t="shared" si="64"/>
        <v>10.993849759285927</v>
      </c>
      <c r="J153" s="28">
        <f t="shared" si="65"/>
        <v>30.888690309866607</v>
      </c>
      <c r="K153" s="28">
        <f t="shared" si="66"/>
        <v>8.630172061039453</v>
      </c>
      <c r="L153" s="28">
        <f t="shared" si="61"/>
        <v>3.088869030986661</v>
      </c>
      <c r="M153" s="28">
        <f t="shared" si="62"/>
        <v>11.719041092026114</v>
      </c>
      <c r="N153" s="29">
        <f t="shared" si="57"/>
        <v>63.66483992372037</v>
      </c>
      <c r="O153" s="29">
        <f t="shared" si="58"/>
        <v>17.43645050974882</v>
      </c>
      <c r="P153" s="29">
        <f t="shared" si="67"/>
        <v>2.406439385243268</v>
      </c>
    </row>
    <row r="154" spans="1:16" ht="11.25">
      <c r="A154" s="23"/>
      <c r="B154" s="15">
        <v>4</v>
      </c>
      <c r="C154" s="23">
        <f t="shared" si="68"/>
        <v>1004</v>
      </c>
      <c r="D154" s="24">
        <f>pol!D154</f>
        <v>2.5</v>
      </c>
      <c r="E154" s="25" t="str">
        <f>pol!E154</f>
        <v>40s</v>
      </c>
      <c r="F154" s="26">
        <f>pol!F154*25.4</f>
        <v>73.02499999999999</v>
      </c>
      <c r="G154" s="27">
        <f>pol!G154*25.4</f>
        <v>5.1562</v>
      </c>
      <c r="H154" s="25">
        <f t="shared" si="63"/>
        <v>62.712599999999995</v>
      </c>
      <c r="I154" s="27">
        <f t="shared" si="64"/>
        <v>10.993849759285927</v>
      </c>
      <c r="J154" s="28">
        <f t="shared" si="65"/>
        <v>30.888690309866607</v>
      </c>
      <c r="K154" s="28">
        <f t="shared" si="66"/>
        <v>8.630172061039453</v>
      </c>
      <c r="L154" s="28">
        <f t="shared" si="61"/>
        <v>3.088869030986661</v>
      </c>
      <c r="M154" s="28">
        <f t="shared" si="62"/>
        <v>11.719041092026114</v>
      </c>
      <c r="N154" s="29">
        <f t="shared" si="57"/>
        <v>63.66483992372037</v>
      </c>
      <c r="O154" s="29">
        <f t="shared" si="58"/>
        <v>17.43645050974882</v>
      </c>
      <c r="P154" s="29">
        <f t="shared" si="67"/>
        <v>2.406439385243268</v>
      </c>
    </row>
    <row r="155" spans="1:16" ht="11.25">
      <c r="A155" s="23"/>
      <c r="B155" s="15">
        <v>5</v>
      </c>
      <c r="C155" s="23">
        <f t="shared" si="68"/>
        <v>1005</v>
      </c>
      <c r="D155" s="24">
        <f>pol!D155</f>
        <v>2.5</v>
      </c>
      <c r="E155" s="25" t="str">
        <f>pol!E155</f>
        <v>STD</v>
      </c>
      <c r="F155" s="26">
        <f>pol!F155*25.4</f>
        <v>73.02499999999999</v>
      </c>
      <c r="G155" s="27">
        <f>pol!G155*25.4</f>
        <v>5.1562</v>
      </c>
      <c r="H155" s="25">
        <f t="shared" si="63"/>
        <v>62.712599999999995</v>
      </c>
      <c r="I155" s="27">
        <f t="shared" si="64"/>
        <v>10.993849759285927</v>
      </c>
      <c r="J155" s="28">
        <f t="shared" si="65"/>
        <v>30.888690309866607</v>
      </c>
      <c r="K155" s="28">
        <f t="shared" si="66"/>
        <v>8.630172061039453</v>
      </c>
      <c r="L155" s="28">
        <f t="shared" si="61"/>
        <v>3.088869030986661</v>
      </c>
      <c r="M155" s="28">
        <f t="shared" si="62"/>
        <v>11.719041092026114</v>
      </c>
      <c r="N155" s="29">
        <f t="shared" si="57"/>
        <v>63.66483992372037</v>
      </c>
      <c r="O155" s="29">
        <f t="shared" si="58"/>
        <v>17.43645050974882</v>
      </c>
      <c r="P155" s="29">
        <f t="shared" si="67"/>
        <v>2.406439385243268</v>
      </c>
    </row>
    <row r="156" spans="1:16" ht="11.25">
      <c r="A156" s="23"/>
      <c r="B156" s="15">
        <v>6</v>
      </c>
      <c r="C156" s="23">
        <f t="shared" si="68"/>
        <v>1006</v>
      </c>
      <c r="D156" s="24">
        <f>pol!D156</f>
        <v>2.5</v>
      </c>
      <c r="E156" s="25">
        <f>pol!E156</f>
        <v>80</v>
      </c>
      <c r="F156" s="26">
        <f>pol!F156*25.4</f>
        <v>73.02499999999999</v>
      </c>
      <c r="G156" s="27">
        <f>pol!G156*25.4</f>
        <v>7.010400000000001</v>
      </c>
      <c r="H156" s="25">
        <f t="shared" si="63"/>
        <v>59.00419999999999</v>
      </c>
      <c r="I156" s="27">
        <f t="shared" si="64"/>
        <v>14.538937429445337</v>
      </c>
      <c r="J156" s="28">
        <f t="shared" si="65"/>
        <v>27.343602639707196</v>
      </c>
      <c r="K156" s="28">
        <f t="shared" si="66"/>
        <v>11.41306588211459</v>
      </c>
      <c r="L156" s="28">
        <f t="shared" si="61"/>
        <v>2.7343602639707196</v>
      </c>
      <c r="M156" s="28">
        <f t="shared" si="62"/>
        <v>14.14742614608531</v>
      </c>
      <c r="N156" s="29">
        <f t="shared" si="57"/>
        <v>80.09270044732732</v>
      </c>
      <c r="O156" s="29">
        <f t="shared" si="58"/>
        <v>21.935693378247812</v>
      </c>
      <c r="P156" s="29">
        <f t="shared" si="67"/>
        <v>2.3470921161407365</v>
      </c>
    </row>
    <row r="157" spans="1:16" ht="11.25">
      <c r="A157" s="23"/>
      <c r="B157" s="15">
        <v>7</v>
      </c>
      <c r="C157" s="23">
        <f t="shared" si="68"/>
        <v>1007</v>
      </c>
      <c r="D157" s="24">
        <f>pol!D157</f>
        <v>2.5</v>
      </c>
      <c r="E157" s="25" t="str">
        <f>pol!E157</f>
        <v>80s</v>
      </c>
      <c r="F157" s="26">
        <f>pol!F157*25.4</f>
        <v>73.02499999999999</v>
      </c>
      <c r="G157" s="27">
        <f>pol!G157*25.4</f>
        <v>7.010400000000001</v>
      </c>
      <c r="H157" s="25">
        <f t="shared" si="63"/>
        <v>59.00419999999999</v>
      </c>
      <c r="I157" s="27">
        <f t="shared" si="64"/>
        <v>14.538937429445337</v>
      </c>
      <c r="J157" s="28">
        <f t="shared" si="65"/>
        <v>27.343602639707196</v>
      </c>
      <c r="K157" s="28">
        <f t="shared" si="66"/>
        <v>11.41306588211459</v>
      </c>
      <c r="L157" s="28">
        <f t="shared" si="61"/>
        <v>2.7343602639707196</v>
      </c>
      <c r="M157" s="28">
        <f t="shared" si="62"/>
        <v>14.14742614608531</v>
      </c>
      <c r="N157" s="29">
        <f t="shared" si="57"/>
        <v>80.09270044732732</v>
      </c>
      <c r="O157" s="29">
        <f t="shared" si="58"/>
        <v>21.935693378247812</v>
      </c>
      <c r="P157" s="29">
        <f t="shared" si="67"/>
        <v>2.3470921161407365</v>
      </c>
    </row>
    <row r="158" spans="1:16" ht="11.25">
      <c r="A158" s="23"/>
      <c r="B158" s="15">
        <v>8</v>
      </c>
      <c r="C158" s="23">
        <f t="shared" si="68"/>
        <v>1008</v>
      </c>
      <c r="D158" s="24">
        <f>pol!D158</f>
        <v>2.5</v>
      </c>
      <c r="E158" s="25" t="str">
        <f>pol!E158</f>
        <v>XS</v>
      </c>
      <c r="F158" s="26">
        <f>pol!F158*25.4</f>
        <v>73.02499999999999</v>
      </c>
      <c r="G158" s="27">
        <f>pol!G158*25.4</f>
        <v>7.010400000000001</v>
      </c>
      <c r="H158" s="25">
        <f t="shared" si="63"/>
        <v>59.00419999999999</v>
      </c>
      <c r="I158" s="27">
        <f t="shared" si="64"/>
        <v>14.538937429445337</v>
      </c>
      <c r="J158" s="28">
        <f t="shared" si="65"/>
        <v>27.343602639707196</v>
      </c>
      <c r="K158" s="28">
        <f t="shared" si="66"/>
        <v>11.41306588211459</v>
      </c>
      <c r="L158" s="28">
        <f t="shared" si="61"/>
        <v>2.7343602639707196</v>
      </c>
      <c r="M158" s="28">
        <f t="shared" si="62"/>
        <v>14.14742614608531</v>
      </c>
      <c r="N158" s="29">
        <f t="shared" si="57"/>
        <v>80.09270044732732</v>
      </c>
      <c r="O158" s="29">
        <f t="shared" si="58"/>
        <v>21.935693378247812</v>
      </c>
      <c r="P158" s="29">
        <f t="shared" si="67"/>
        <v>2.3470921161407365</v>
      </c>
    </row>
    <row r="159" spans="1:16" ht="11.25">
      <c r="A159" s="23"/>
      <c r="B159" s="15">
        <v>9</v>
      </c>
      <c r="C159" s="23">
        <f t="shared" si="68"/>
        <v>1009</v>
      </c>
      <c r="D159" s="24">
        <f>pol!D159</f>
        <v>2.5</v>
      </c>
      <c r="E159" s="25">
        <f>pol!E159</f>
        <v>160</v>
      </c>
      <c r="F159" s="26">
        <f>pol!F159*25.4</f>
        <v>73.02499999999999</v>
      </c>
      <c r="G159" s="27">
        <f>pol!G159*25.4</f>
        <v>9.524999999999999</v>
      </c>
      <c r="H159" s="25">
        <f t="shared" si="63"/>
        <v>53.974999999999994</v>
      </c>
      <c r="I159" s="27">
        <f t="shared" si="64"/>
        <v>19.001530466156158</v>
      </c>
      <c r="J159" s="28">
        <f t="shared" si="65"/>
        <v>22.88100960299638</v>
      </c>
      <c r="K159" s="28">
        <f t="shared" si="66"/>
        <v>14.916201415932585</v>
      </c>
      <c r="L159" s="28">
        <f t="shared" si="61"/>
        <v>2.288100960299638</v>
      </c>
      <c r="M159" s="28">
        <f t="shared" si="62"/>
        <v>17.204302376232224</v>
      </c>
      <c r="N159" s="29">
        <f t="shared" si="57"/>
        <v>97.92855868707092</v>
      </c>
      <c r="O159" s="29">
        <f t="shared" si="58"/>
        <v>26.820556983792105</v>
      </c>
      <c r="P159" s="29">
        <f t="shared" si="67"/>
        <v>2.270180506314421</v>
      </c>
    </row>
    <row r="160" spans="1:16" ht="11.25">
      <c r="A160" s="23"/>
      <c r="B160" s="15">
        <v>10</v>
      </c>
      <c r="C160" s="23">
        <f t="shared" si="68"/>
        <v>1010</v>
      </c>
      <c r="D160" s="24">
        <f>pol!D160</f>
        <v>2.5</v>
      </c>
      <c r="E160" s="25" t="str">
        <f>pol!E160</f>
        <v>XXS</v>
      </c>
      <c r="F160" s="26">
        <f>pol!F160*25.4</f>
        <v>73.02499999999999</v>
      </c>
      <c r="G160" s="27">
        <f>pol!G160*25.4</f>
        <v>14.020800000000001</v>
      </c>
      <c r="H160" s="25">
        <f t="shared" si="63"/>
        <v>44.98339999999999</v>
      </c>
      <c r="I160" s="27">
        <f t="shared" si="64"/>
        <v>25.98995894467219</v>
      </c>
      <c r="J160" s="28">
        <f t="shared" si="65"/>
        <v>15.89258112448034</v>
      </c>
      <c r="K160" s="28">
        <f t="shared" si="66"/>
        <v>20.40211777156767</v>
      </c>
      <c r="L160" s="28">
        <f t="shared" si="61"/>
        <v>1.589258112448034</v>
      </c>
      <c r="M160" s="28">
        <f t="shared" si="62"/>
        <v>21.991375884015703</v>
      </c>
      <c r="N160" s="29">
        <f t="shared" si="57"/>
        <v>119.49138489757588</v>
      </c>
      <c r="O160" s="29">
        <f t="shared" si="58"/>
        <v>32.72615813696019</v>
      </c>
      <c r="P160" s="29">
        <f t="shared" si="67"/>
        <v>2.144201031351771</v>
      </c>
    </row>
    <row r="161" spans="1:16" ht="11.25" customHeight="1" hidden="1">
      <c r="A161" s="23"/>
      <c r="B161" s="15">
        <v>11</v>
      </c>
      <c r="C161" s="23">
        <f t="shared" si="68"/>
        <v>1011</v>
      </c>
      <c r="D161" s="24"/>
      <c r="E161" s="25"/>
      <c r="F161" s="26"/>
      <c r="G161" s="27"/>
      <c r="H161" s="25"/>
      <c r="I161" s="27"/>
      <c r="J161" s="28"/>
      <c r="K161" s="28"/>
      <c r="L161" s="28"/>
      <c r="M161" s="28"/>
      <c r="N161" s="29"/>
      <c r="O161" s="29"/>
      <c r="P161" s="29"/>
    </row>
    <row r="162" spans="1:16" ht="11.25" customHeight="1" hidden="1">
      <c r="A162" s="23"/>
      <c r="B162" s="15">
        <v>12</v>
      </c>
      <c r="C162" s="23">
        <f t="shared" si="68"/>
        <v>1012</v>
      </c>
      <c r="D162" s="24"/>
      <c r="E162" s="25"/>
      <c r="F162" s="26"/>
      <c r="G162" s="27"/>
      <c r="H162" s="25"/>
      <c r="I162" s="27"/>
      <c r="J162" s="28"/>
      <c r="K162" s="28"/>
      <c r="L162" s="28"/>
      <c r="M162" s="28"/>
      <c r="N162" s="29"/>
      <c r="O162" s="29"/>
      <c r="P162" s="29"/>
    </row>
    <row r="163" spans="1:16" ht="11.25" customHeight="1" hidden="1">
      <c r="A163" s="23"/>
      <c r="B163" s="15">
        <v>13</v>
      </c>
      <c r="C163" s="23">
        <f t="shared" si="68"/>
        <v>1013</v>
      </c>
      <c r="D163" s="24"/>
      <c r="E163" s="25"/>
      <c r="F163" s="26"/>
      <c r="G163" s="27"/>
      <c r="H163" s="25"/>
      <c r="I163" s="27"/>
      <c r="J163" s="28"/>
      <c r="K163" s="28"/>
      <c r="L163" s="28"/>
      <c r="M163" s="28"/>
      <c r="N163" s="29"/>
      <c r="O163" s="29"/>
      <c r="P163" s="29"/>
    </row>
    <row r="164" spans="1:16" ht="11.25" customHeight="1" hidden="1">
      <c r="A164" s="23"/>
      <c r="B164" s="15">
        <v>14</v>
      </c>
      <c r="C164" s="23">
        <f t="shared" si="68"/>
        <v>1014</v>
      </c>
      <c r="D164" s="24"/>
      <c r="E164" s="25"/>
      <c r="F164" s="26"/>
      <c r="G164" s="27"/>
      <c r="H164" s="25"/>
      <c r="I164" s="27"/>
      <c r="J164" s="28"/>
      <c r="K164" s="28"/>
      <c r="L164" s="28"/>
      <c r="M164" s="28"/>
      <c r="N164" s="29"/>
      <c r="O164" s="29"/>
      <c r="P164" s="29"/>
    </row>
    <row r="165" spans="1:16" ht="11.25" customHeight="1" hidden="1">
      <c r="A165" s="23"/>
      <c r="B165" s="15">
        <v>15</v>
      </c>
      <c r="C165" s="23">
        <f t="shared" si="68"/>
        <v>1015</v>
      </c>
      <c r="D165" s="24"/>
      <c r="E165" s="25"/>
      <c r="F165" s="26"/>
      <c r="G165" s="27"/>
      <c r="H165" s="25"/>
      <c r="I165" s="27"/>
      <c r="J165" s="28"/>
      <c r="K165" s="28"/>
      <c r="L165" s="28"/>
      <c r="M165" s="28"/>
      <c r="N165" s="29"/>
      <c r="O165" s="29"/>
      <c r="P165" s="29"/>
    </row>
    <row r="166" spans="1:16" ht="11.25" customHeight="1" hidden="1">
      <c r="A166" s="23"/>
      <c r="B166" s="15">
        <v>16</v>
      </c>
      <c r="C166" s="23">
        <f t="shared" si="68"/>
        <v>1016</v>
      </c>
      <c r="D166" s="24"/>
      <c r="E166" s="25"/>
      <c r="F166" s="26"/>
      <c r="G166" s="27"/>
      <c r="H166" s="25"/>
      <c r="I166" s="27"/>
      <c r="J166" s="28"/>
      <c r="K166" s="28"/>
      <c r="L166" s="28"/>
      <c r="M166" s="28"/>
      <c r="N166" s="29"/>
      <c r="O166" s="29"/>
      <c r="P166" s="29"/>
    </row>
    <row r="167" spans="1:16" ht="11.25">
      <c r="A167" s="23">
        <v>11</v>
      </c>
      <c r="B167" s="15">
        <v>1</v>
      </c>
      <c r="C167" s="23">
        <f>$A$167*100+B167</f>
        <v>1101</v>
      </c>
      <c r="D167" s="24">
        <f>pol!D167</f>
        <v>3</v>
      </c>
      <c r="E167" s="25" t="str">
        <f>pol!E167</f>
        <v>5s</v>
      </c>
      <c r="F167" s="26">
        <f>pol!F167*25.4</f>
        <v>88.89999999999999</v>
      </c>
      <c r="G167" s="27">
        <f>pol!G167*25.4</f>
        <v>2.1082</v>
      </c>
      <c r="H167" s="25">
        <f t="shared" si="63"/>
        <v>84.68359999999998</v>
      </c>
      <c r="I167" s="27">
        <f t="shared" si="64"/>
        <v>5.748312594172825</v>
      </c>
      <c r="J167" s="28">
        <f t="shared" si="65"/>
        <v>56.32335359527064</v>
      </c>
      <c r="K167" s="28">
        <f t="shared" si="66"/>
        <v>4.512425386425668</v>
      </c>
      <c r="L167" s="28">
        <f t="shared" si="61"/>
        <v>5.632335359527064</v>
      </c>
      <c r="M167" s="28">
        <f t="shared" si="62"/>
        <v>10.144760745952732</v>
      </c>
      <c r="N167" s="29">
        <f t="shared" si="57"/>
        <v>54.1581658062946</v>
      </c>
      <c r="O167" s="29">
        <f t="shared" si="58"/>
        <v>12.184064298378988</v>
      </c>
      <c r="P167" s="29">
        <f t="shared" si="67"/>
        <v>3.0694586359975577</v>
      </c>
    </row>
    <row r="168" spans="1:16" ht="11.25">
      <c r="A168" s="23"/>
      <c r="B168" s="15">
        <v>2</v>
      </c>
      <c r="C168" s="23">
        <f aca="true" t="shared" si="69" ref="C168:C182">$A$167*100+B168</f>
        <v>1102</v>
      </c>
      <c r="D168" s="24">
        <f>pol!D168</f>
        <v>3</v>
      </c>
      <c r="E168" s="25" t="str">
        <f>pol!E168</f>
        <v>10s</v>
      </c>
      <c r="F168" s="26">
        <f>pol!F168*25.4</f>
        <v>88.89999999999999</v>
      </c>
      <c r="G168" s="27">
        <f>pol!G168*25.4</f>
        <v>3.0479999999999996</v>
      </c>
      <c r="H168" s="25">
        <f t="shared" si="63"/>
        <v>82.80399999999999</v>
      </c>
      <c r="I168" s="27">
        <f t="shared" si="64"/>
        <v>8.220822140877807</v>
      </c>
      <c r="J168" s="28">
        <f t="shared" si="65"/>
        <v>53.85084404856565</v>
      </c>
      <c r="K168" s="28">
        <f t="shared" si="66"/>
        <v>6.453345380589079</v>
      </c>
      <c r="L168" s="28">
        <f t="shared" si="61"/>
        <v>5.385084404856565</v>
      </c>
      <c r="M168" s="28">
        <f t="shared" si="62"/>
        <v>11.838429785445644</v>
      </c>
      <c r="N168" s="29">
        <f t="shared" si="57"/>
        <v>75.83560663902617</v>
      </c>
      <c r="O168" s="29">
        <f t="shared" si="58"/>
        <v>17.0608788839204</v>
      </c>
      <c r="P168" s="29">
        <f t="shared" si="67"/>
        <v>3.0372389204670744</v>
      </c>
    </row>
    <row r="169" spans="1:16" ht="11.25">
      <c r="A169" s="23"/>
      <c r="B169" s="15">
        <v>3</v>
      </c>
      <c r="C169" s="23">
        <f t="shared" si="69"/>
        <v>1103</v>
      </c>
      <c r="D169" s="24">
        <f>pol!D169</f>
        <v>3</v>
      </c>
      <c r="E169" s="25">
        <f>pol!E169</f>
        <v>40</v>
      </c>
      <c r="F169" s="26">
        <f>pol!F169*25.4</f>
        <v>88.89999999999999</v>
      </c>
      <c r="G169" s="27">
        <f>pol!G169*25.4</f>
        <v>5.4864</v>
      </c>
      <c r="H169" s="25">
        <f t="shared" si="63"/>
        <v>77.9272</v>
      </c>
      <c r="I169" s="27">
        <f t="shared" si="64"/>
        <v>14.377196402117402</v>
      </c>
      <c r="J169" s="28">
        <f t="shared" si="65"/>
        <v>47.69446978732605</v>
      </c>
      <c r="K169" s="28">
        <f t="shared" si="66"/>
        <v>11.28609917566216</v>
      </c>
      <c r="L169" s="28">
        <f t="shared" si="61"/>
        <v>4.7694469787326055</v>
      </c>
      <c r="M169" s="28">
        <f t="shared" si="62"/>
        <v>16.055546154394765</v>
      </c>
      <c r="N169" s="29">
        <f t="shared" si="57"/>
        <v>125.58353908775098</v>
      </c>
      <c r="O169" s="29">
        <f t="shared" si="58"/>
        <v>28.25276469915658</v>
      </c>
      <c r="P169" s="29">
        <f t="shared" si="67"/>
        <v>2.9554883796760225</v>
      </c>
    </row>
    <row r="170" spans="1:16" ht="11.25">
      <c r="A170" s="23"/>
      <c r="B170" s="15">
        <v>4</v>
      </c>
      <c r="C170" s="23">
        <f t="shared" si="69"/>
        <v>1104</v>
      </c>
      <c r="D170" s="24">
        <f>pol!D170</f>
        <v>3</v>
      </c>
      <c r="E170" s="25" t="str">
        <f>pol!E170</f>
        <v>40s</v>
      </c>
      <c r="F170" s="26">
        <f>pol!F170*25.4</f>
        <v>88.89999999999999</v>
      </c>
      <c r="G170" s="27">
        <f>pol!G170*25.4</f>
        <v>5.4864</v>
      </c>
      <c r="H170" s="25">
        <f aca="true" t="shared" si="70" ref="H170:H205">F170-2*G170</f>
        <v>77.9272</v>
      </c>
      <c r="I170" s="27">
        <f aca="true" t="shared" si="71" ref="I170:I205">PI()*(F170^2-H170^2)/400</f>
        <v>14.377196402117402</v>
      </c>
      <c r="J170" s="28">
        <f aca="true" t="shared" si="72" ref="J170:J205">PI()*H170^2/400</f>
        <v>47.69446978732605</v>
      </c>
      <c r="K170" s="28">
        <f aca="true" t="shared" si="73" ref="K170:K205">0.785*I170</f>
        <v>11.28609917566216</v>
      </c>
      <c r="L170" s="28">
        <f t="shared" si="61"/>
        <v>4.7694469787326055</v>
      </c>
      <c r="M170" s="28">
        <f t="shared" si="62"/>
        <v>16.055546154394765</v>
      </c>
      <c r="N170" s="29">
        <f t="shared" si="57"/>
        <v>125.58353908775098</v>
      </c>
      <c r="O170" s="29">
        <f t="shared" si="58"/>
        <v>28.25276469915658</v>
      </c>
      <c r="P170" s="29">
        <f aca="true" t="shared" si="74" ref="P170:P205">SQRT(N170/I170)</f>
        <v>2.9554883796760225</v>
      </c>
    </row>
    <row r="171" spans="1:16" ht="11.25">
      <c r="A171" s="23"/>
      <c r="B171" s="15">
        <v>5</v>
      </c>
      <c r="C171" s="23">
        <f t="shared" si="69"/>
        <v>1105</v>
      </c>
      <c r="D171" s="24">
        <f>pol!D171</f>
        <v>3</v>
      </c>
      <c r="E171" s="25" t="str">
        <f>pol!E171</f>
        <v>STD</v>
      </c>
      <c r="F171" s="26">
        <f>pol!F171*25.4</f>
        <v>88.89999999999999</v>
      </c>
      <c r="G171" s="27">
        <f>pol!G171*25.4</f>
        <v>5.4864</v>
      </c>
      <c r="H171" s="25">
        <f t="shared" si="70"/>
        <v>77.9272</v>
      </c>
      <c r="I171" s="27">
        <f t="shared" si="71"/>
        <v>14.377196402117402</v>
      </c>
      <c r="J171" s="28">
        <f t="shared" si="72"/>
        <v>47.69446978732605</v>
      </c>
      <c r="K171" s="28">
        <f t="shared" si="73"/>
        <v>11.28609917566216</v>
      </c>
      <c r="L171" s="28">
        <f t="shared" si="61"/>
        <v>4.7694469787326055</v>
      </c>
      <c r="M171" s="28">
        <f t="shared" si="62"/>
        <v>16.055546154394765</v>
      </c>
      <c r="N171" s="29">
        <f t="shared" si="57"/>
        <v>125.58353908775098</v>
      </c>
      <c r="O171" s="29">
        <f t="shared" si="58"/>
        <v>28.25276469915658</v>
      </c>
      <c r="P171" s="29">
        <f t="shared" si="74"/>
        <v>2.9554883796760225</v>
      </c>
    </row>
    <row r="172" spans="1:16" ht="11.25">
      <c r="A172" s="23"/>
      <c r="B172" s="15">
        <v>6</v>
      </c>
      <c r="C172" s="23">
        <f t="shared" si="69"/>
        <v>1106</v>
      </c>
      <c r="D172" s="24">
        <f>pol!D172</f>
        <v>3</v>
      </c>
      <c r="E172" s="25">
        <f>pol!E172</f>
        <v>80</v>
      </c>
      <c r="F172" s="26">
        <f>pol!F172*25.4</f>
        <v>88.89999999999999</v>
      </c>
      <c r="G172" s="27">
        <f>pol!G172*25.4</f>
        <v>7.619999999999999</v>
      </c>
      <c r="H172" s="25">
        <f t="shared" si="70"/>
        <v>73.66</v>
      </c>
      <c r="I172" s="27">
        <f t="shared" si="71"/>
        <v>19.457567197343902</v>
      </c>
      <c r="J172" s="28">
        <f t="shared" si="72"/>
        <v>42.61409899209955</v>
      </c>
      <c r="K172" s="28">
        <f t="shared" si="73"/>
        <v>15.274190249914964</v>
      </c>
      <c r="L172" s="28">
        <f t="shared" si="61"/>
        <v>4.261409899209955</v>
      </c>
      <c r="M172" s="28">
        <f t="shared" si="62"/>
        <v>19.535600149124917</v>
      </c>
      <c r="N172" s="29">
        <f t="shared" si="57"/>
        <v>162.09376383485824</v>
      </c>
      <c r="O172" s="29">
        <f t="shared" si="58"/>
        <v>36.46653854552492</v>
      </c>
      <c r="P172" s="29">
        <f t="shared" si="74"/>
        <v>2.886282817050332</v>
      </c>
    </row>
    <row r="173" spans="1:16" ht="11.25">
      <c r="A173" s="23"/>
      <c r="B173" s="15">
        <v>7</v>
      </c>
      <c r="C173" s="23">
        <f t="shared" si="69"/>
        <v>1107</v>
      </c>
      <c r="D173" s="24">
        <f>pol!D173</f>
        <v>3</v>
      </c>
      <c r="E173" s="25" t="str">
        <f>pol!E173</f>
        <v>80s</v>
      </c>
      <c r="F173" s="26">
        <f>pol!F173*25.4</f>
        <v>88.89999999999999</v>
      </c>
      <c r="G173" s="27">
        <f>pol!G173*25.4</f>
        <v>7.619999999999999</v>
      </c>
      <c r="H173" s="25">
        <f t="shared" si="70"/>
        <v>73.66</v>
      </c>
      <c r="I173" s="27">
        <f t="shared" si="71"/>
        <v>19.457567197343902</v>
      </c>
      <c r="J173" s="28">
        <f t="shared" si="72"/>
        <v>42.61409899209955</v>
      </c>
      <c r="K173" s="28">
        <f t="shared" si="73"/>
        <v>15.274190249914964</v>
      </c>
      <c r="L173" s="28">
        <f t="shared" si="61"/>
        <v>4.261409899209955</v>
      </c>
      <c r="M173" s="28">
        <f t="shared" si="62"/>
        <v>19.535600149124917</v>
      </c>
      <c r="N173" s="29">
        <f t="shared" si="57"/>
        <v>162.09376383485824</v>
      </c>
      <c r="O173" s="29">
        <f t="shared" si="58"/>
        <v>36.46653854552492</v>
      </c>
      <c r="P173" s="29">
        <f t="shared" si="74"/>
        <v>2.886282817050332</v>
      </c>
    </row>
    <row r="174" spans="1:16" ht="11.25">
      <c r="A174" s="23"/>
      <c r="B174" s="15">
        <v>8</v>
      </c>
      <c r="C174" s="23">
        <f t="shared" si="69"/>
        <v>1108</v>
      </c>
      <c r="D174" s="24">
        <f>pol!D174</f>
        <v>3</v>
      </c>
      <c r="E174" s="25" t="str">
        <f>pol!E174</f>
        <v>XS</v>
      </c>
      <c r="F174" s="26">
        <f>pol!F174*25.4</f>
        <v>88.89999999999999</v>
      </c>
      <c r="G174" s="27">
        <f>pol!G174*25.4</f>
        <v>7.619999999999999</v>
      </c>
      <c r="H174" s="25">
        <f t="shared" si="70"/>
        <v>73.66</v>
      </c>
      <c r="I174" s="27">
        <f t="shared" si="71"/>
        <v>19.457567197343902</v>
      </c>
      <c r="J174" s="28">
        <f t="shared" si="72"/>
        <v>42.61409899209955</v>
      </c>
      <c r="K174" s="28">
        <f t="shared" si="73"/>
        <v>15.274190249914964</v>
      </c>
      <c r="L174" s="28">
        <f t="shared" si="61"/>
        <v>4.261409899209955</v>
      </c>
      <c r="M174" s="28">
        <f t="shared" si="62"/>
        <v>19.535600149124917</v>
      </c>
      <c r="N174" s="29">
        <f t="shared" si="57"/>
        <v>162.09376383485824</v>
      </c>
      <c r="O174" s="29">
        <f t="shared" si="58"/>
        <v>36.46653854552492</v>
      </c>
      <c r="P174" s="29">
        <f t="shared" si="74"/>
        <v>2.886282817050332</v>
      </c>
    </row>
    <row r="175" spans="1:16" ht="11.25">
      <c r="A175" s="23"/>
      <c r="B175" s="15">
        <v>9</v>
      </c>
      <c r="C175" s="23">
        <f t="shared" si="69"/>
        <v>1109</v>
      </c>
      <c r="D175" s="24">
        <f>pol!D175</f>
        <v>3</v>
      </c>
      <c r="E175" s="25">
        <f>pol!E175</f>
        <v>160</v>
      </c>
      <c r="F175" s="26">
        <f>pol!F175*25.4</f>
        <v>88.89999999999999</v>
      </c>
      <c r="G175" s="27">
        <f>pol!G175*25.4</f>
        <v>11.1252</v>
      </c>
      <c r="H175" s="25">
        <f t="shared" si="70"/>
        <v>66.64959999999999</v>
      </c>
      <c r="I175" s="27">
        <f t="shared" si="71"/>
        <v>27.18295103345934</v>
      </c>
      <c r="J175" s="28">
        <f t="shared" si="72"/>
        <v>34.888715155984116</v>
      </c>
      <c r="K175" s="28">
        <f t="shared" si="73"/>
        <v>21.33861656126558</v>
      </c>
      <c r="L175" s="28">
        <f t="shared" si="61"/>
        <v>3.4888715155984116</v>
      </c>
      <c r="M175" s="28">
        <f t="shared" si="62"/>
        <v>24.827488076863993</v>
      </c>
      <c r="N175" s="29">
        <f t="shared" si="57"/>
        <v>209.73989858986107</v>
      </c>
      <c r="O175" s="29">
        <f t="shared" si="58"/>
        <v>47.18557898534558</v>
      </c>
      <c r="P175" s="29">
        <f t="shared" si="74"/>
        <v>2.7777440464520846</v>
      </c>
    </row>
    <row r="176" spans="1:16" ht="11.25">
      <c r="A176" s="23"/>
      <c r="B176" s="15">
        <v>10</v>
      </c>
      <c r="C176" s="23">
        <f t="shared" si="69"/>
        <v>1110</v>
      </c>
      <c r="D176" s="24">
        <f>pol!D176</f>
        <v>3</v>
      </c>
      <c r="E176" s="25" t="str">
        <f>pol!E176</f>
        <v>XXS</v>
      </c>
      <c r="F176" s="26">
        <f>pol!F176*25.4</f>
        <v>88.89999999999999</v>
      </c>
      <c r="G176" s="27">
        <f>pol!G176*25.4</f>
        <v>15.239999999999998</v>
      </c>
      <c r="H176" s="25">
        <f t="shared" si="70"/>
        <v>58.419999999999995</v>
      </c>
      <c r="I176" s="27">
        <f t="shared" si="71"/>
        <v>35.266840545185836</v>
      </c>
      <c r="J176" s="28">
        <f t="shared" si="72"/>
        <v>26.804825644257626</v>
      </c>
      <c r="K176" s="28">
        <f t="shared" si="73"/>
        <v>27.684469827970883</v>
      </c>
      <c r="L176" s="28">
        <f t="shared" si="61"/>
        <v>2.6804825644257626</v>
      </c>
      <c r="M176" s="28">
        <f t="shared" si="62"/>
        <v>30.364952392396646</v>
      </c>
      <c r="N176" s="29">
        <f t="shared" si="57"/>
        <v>249.427075000723</v>
      </c>
      <c r="O176" s="29">
        <f t="shared" si="58"/>
        <v>56.11407761546075</v>
      </c>
      <c r="P176" s="29">
        <f t="shared" si="74"/>
        <v>2.659429732104234</v>
      </c>
    </row>
    <row r="177" spans="1:16" ht="11.25" customHeight="1" hidden="1">
      <c r="A177" s="23"/>
      <c r="B177" s="15">
        <v>11</v>
      </c>
      <c r="C177" s="23">
        <f t="shared" si="69"/>
        <v>1111</v>
      </c>
      <c r="D177" s="24"/>
      <c r="E177" s="25"/>
      <c r="F177" s="26"/>
      <c r="G177" s="27"/>
      <c r="H177" s="25"/>
      <c r="I177" s="27"/>
      <c r="J177" s="28"/>
      <c r="K177" s="28"/>
      <c r="L177" s="28"/>
      <c r="M177" s="28"/>
      <c r="N177" s="29"/>
      <c r="O177" s="29"/>
      <c r="P177" s="29"/>
    </row>
    <row r="178" spans="1:16" ht="11.25" customHeight="1" hidden="1">
      <c r="A178" s="23"/>
      <c r="B178" s="15">
        <v>12</v>
      </c>
      <c r="C178" s="23">
        <f t="shared" si="69"/>
        <v>1112</v>
      </c>
      <c r="D178" s="24"/>
      <c r="E178" s="25"/>
      <c r="F178" s="26"/>
      <c r="G178" s="27"/>
      <c r="H178" s="25"/>
      <c r="I178" s="27"/>
      <c r="J178" s="28"/>
      <c r="K178" s="28"/>
      <c r="L178" s="28"/>
      <c r="M178" s="28"/>
      <c r="N178" s="29"/>
      <c r="O178" s="29"/>
      <c r="P178" s="29"/>
    </row>
    <row r="179" spans="1:16" ht="11.25" customHeight="1" hidden="1">
      <c r="A179" s="23"/>
      <c r="B179" s="15">
        <v>13</v>
      </c>
      <c r="C179" s="23">
        <f t="shared" si="69"/>
        <v>1113</v>
      </c>
      <c r="D179" s="24"/>
      <c r="E179" s="25"/>
      <c r="F179" s="26"/>
      <c r="G179" s="27"/>
      <c r="H179" s="25"/>
      <c r="I179" s="27"/>
      <c r="J179" s="28"/>
      <c r="K179" s="28"/>
      <c r="L179" s="28"/>
      <c r="M179" s="28"/>
      <c r="N179" s="29"/>
      <c r="O179" s="29"/>
      <c r="P179" s="29"/>
    </row>
    <row r="180" spans="1:16" ht="11.25" customHeight="1" hidden="1">
      <c r="A180" s="23"/>
      <c r="B180" s="15">
        <v>14</v>
      </c>
      <c r="C180" s="23">
        <f t="shared" si="69"/>
        <v>1114</v>
      </c>
      <c r="D180" s="24"/>
      <c r="E180" s="25"/>
      <c r="F180" s="26"/>
      <c r="G180" s="27"/>
      <c r="H180" s="25"/>
      <c r="I180" s="27"/>
      <c r="J180" s="28"/>
      <c r="K180" s="28"/>
      <c r="L180" s="28"/>
      <c r="M180" s="28"/>
      <c r="N180" s="29"/>
      <c r="O180" s="29"/>
      <c r="P180" s="29"/>
    </row>
    <row r="181" spans="1:16" ht="11.25" customHeight="1" hidden="1">
      <c r="A181" s="23"/>
      <c r="B181" s="15">
        <v>15</v>
      </c>
      <c r="C181" s="23">
        <f t="shared" si="69"/>
        <v>1115</v>
      </c>
      <c r="D181" s="24"/>
      <c r="E181" s="25"/>
      <c r="F181" s="26"/>
      <c r="G181" s="27"/>
      <c r="H181" s="25"/>
      <c r="I181" s="27"/>
      <c r="J181" s="28"/>
      <c r="K181" s="28"/>
      <c r="L181" s="28"/>
      <c r="M181" s="28"/>
      <c r="N181" s="29"/>
      <c r="O181" s="29"/>
      <c r="P181" s="29"/>
    </row>
    <row r="182" spans="1:16" ht="11.25" customHeight="1" hidden="1">
      <c r="A182" s="23"/>
      <c r="B182" s="15">
        <v>16</v>
      </c>
      <c r="C182" s="23">
        <f t="shared" si="69"/>
        <v>1116</v>
      </c>
      <c r="D182" s="24"/>
      <c r="E182" s="25"/>
      <c r="F182" s="26"/>
      <c r="G182" s="27"/>
      <c r="H182" s="25"/>
      <c r="I182" s="27"/>
      <c r="J182" s="28"/>
      <c r="K182" s="28"/>
      <c r="L182" s="28"/>
      <c r="M182" s="28"/>
      <c r="N182" s="29"/>
      <c r="O182" s="29"/>
      <c r="P182" s="29"/>
    </row>
    <row r="183" spans="1:16" ht="11.25">
      <c r="A183" s="23">
        <v>12</v>
      </c>
      <c r="B183" s="15">
        <v>1</v>
      </c>
      <c r="C183" s="23">
        <f>$A$183*100+B183</f>
        <v>1201</v>
      </c>
      <c r="D183" s="24">
        <f>pol!D183</f>
        <v>3.5</v>
      </c>
      <c r="E183" s="25" t="str">
        <f>pol!E183</f>
        <v>5s</v>
      </c>
      <c r="F183" s="26">
        <f>pol!F183*25.4</f>
        <v>101.6</v>
      </c>
      <c r="G183" s="27">
        <f>pol!G183*25.4</f>
        <v>2.1082</v>
      </c>
      <c r="H183" s="25">
        <f t="shared" si="70"/>
        <v>97.3836</v>
      </c>
      <c r="I183" s="27">
        <f t="shared" si="71"/>
        <v>6.5894470094746636</v>
      </c>
      <c r="J183" s="28">
        <f t="shared" si="72"/>
        <v>74.48374964612498</v>
      </c>
      <c r="K183" s="28">
        <f t="shared" si="73"/>
        <v>5.172715902437611</v>
      </c>
      <c r="L183" s="28">
        <f t="shared" si="61"/>
        <v>7.448374964612498</v>
      </c>
      <c r="M183" s="28">
        <f t="shared" si="62"/>
        <v>12.621090867050109</v>
      </c>
      <c r="N183" s="29">
        <f t="shared" si="57"/>
        <v>81.56963422992136</v>
      </c>
      <c r="O183" s="29">
        <f t="shared" si="58"/>
        <v>16.057014612189246</v>
      </c>
      <c r="P183" s="29">
        <f t="shared" si="74"/>
        <v>3.51835593254861</v>
      </c>
    </row>
    <row r="184" spans="1:16" ht="11.25">
      <c r="A184" s="23"/>
      <c r="B184" s="15">
        <v>2</v>
      </c>
      <c r="C184" s="23">
        <f aca="true" t="shared" si="75" ref="C184:C198">$A$183*100+B184</f>
        <v>1202</v>
      </c>
      <c r="D184" s="24">
        <f>pol!D184</f>
        <v>3.5</v>
      </c>
      <c r="E184" s="25" t="str">
        <f>pol!E184</f>
        <v>10s</v>
      </c>
      <c r="F184" s="26">
        <f>pol!F184*25.4</f>
        <v>101.6</v>
      </c>
      <c r="G184" s="27">
        <f>pol!G184*25.4</f>
        <v>3.0479999999999996</v>
      </c>
      <c r="H184" s="25">
        <f t="shared" si="70"/>
        <v>95.50399999999999</v>
      </c>
      <c r="I184" s="27">
        <f t="shared" si="71"/>
        <v>9.436920090711816</v>
      </c>
      <c r="J184" s="28">
        <f t="shared" si="72"/>
        <v>71.63627656488782</v>
      </c>
      <c r="K184" s="28">
        <f t="shared" si="73"/>
        <v>7.407982271208776</v>
      </c>
      <c r="L184" s="28">
        <f t="shared" si="61"/>
        <v>7.163627656488782</v>
      </c>
      <c r="M184" s="28">
        <f t="shared" si="62"/>
        <v>14.571609927697558</v>
      </c>
      <c r="N184" s="29">
        <f t="shared" si="57"/>
        <v>114.67965891677017</v>
      </c>
      <c r="O184" s="29">
        <f t="shared" si="58"/>
        <v>22.574736007238222</v>
      </c>
      <c r="P184" s="29">
        <f t="shared" si="74"/>
        <v>3.4860054159453018</v>
      </c>
    </row>
    <row r="185" spans="1:16" ht="11.25">
      <c r="A185" s="23"/>
      <c r="B185" s="15">
        <v>3</v>
      </c>
      <c r="C185" s="23">
        <f t="shared" si="75"/>
        <v>1203</v>
      </c>
      <c r="D185" s="24">
        <f>pol!D185</f>
        <v>3.5</v>
      </c>
      <c r="E185" s="25">
        <f>pol!E185</f>
        <v>40</v>
      </c>
      <c r="F185" s="26">
        <f>pol!F185*25.4</f>
        <v>101.6</v>
      </c>
      <c r="G185" s="27">
        <f>pol!G185*25.4</f>
        <v>5.7404</v>
      </c>
      <c r="H185" s="25">
        <f t="shared" si="70"/>
        <v>90.11919999999999</v>
      </c>
      <c r="I185" s="27">
        <f t="shared" si="71"/>
        <v>17.287318796070174</v>
      </c>
      <c r="J185" s="28">
        <f t="shared" si="72"/>
        <v>63.78587785952946</v>
      </c>
      <c r="K185" s="28">
        <f t="shared" si="73"/>
        <v>13.570545254915087</v>
      </c>
      <c r="L185" s="28">
        <f t="shared" si="61"/>
        <v>6.378587785952946</v>
      </c>
      <c r="M185" s="28">
        <f t="shared" si="62"/>
        <v>19.949133040868034</v>
      </c>
      <c r="N185" s="29">
        <f t="shared" si="57"/>
        <v>199.27989381319264</v>
      </c>
      <c r="O185" s="29">
        <f t="shared" si="58"/>
        <v>39.22832555377808</v>
      </c>
      <c r="P185" s="29">
        <f t="shared" si="74"/>
        <v>3.395220004712507</v>
      </c>
    </row>
    <row r="186" spans="1:16" ht="11.25">
      <c r="A186" s="23"/>
      <c r="B186" s="15">
        <v>4</v>
      </c>
      <c r="C186" s="23">
        <f t="shared" si="75"/>
        <v>1204</v>
      </c>
      <c r="D186" s="24">
        <f>pol!D186</f>
        <v>3.5</v>
      </c>
      <c r="E186" s="25" t="str">
        <f>pol!E186</f>
        <v>40s</v>
      </c>
      <c r="F186" s="26">
        <f>pol!F186*25.4</f>
        <v>101.6</v>
      </c>
      <c r="G186" s="27">
        <f>pol!G186*25.4</f>
        <v>5.7404</v>
      </c>
      <c r="H186" s="25">
        <f t="shared" si="70"/>
        <v>90.11919999999999</v>
      </c>
      <c r="I186" s="27">
        <f t="shared" si="71"/>
        <v>17.287318796070174</v>
      </c>
      <c r="J186" s="28">
        <f t="shared" si="72"/>
        <v>63.78587785952946</v>
      </c>
      <c r="K186" s="28">
        <f t="shared" si="73"/>
        <v>13.570545254915087</v>
      </c>
      <c r="L186" s="28">
        <f t="shared" si="61"/>
        <v>6.378587785952946</v>
      </c>
      <c r="M186" s="28">
        <f t="shared" si="62"/>
        <v>19.949133040868034</v>
      </c>
      <c r="N186" s="29">
        <f t="shared" si="57"/>
        <v>199.27989381319264</v>
      </c>
      <c r="O186" s="29">
        <f t="shared" si="58"/>
        <v>39.22832555377808</v>
      </c>
      <c r="P186" s="29">
        <f t="shared" si="74"/>
        <v>3.395220004712507</v>
      </c>
    </row>
    <row r="187" spans="1:16" ht="11.25">
      <c r="A187" s="23"/>
      <c r="B187" s="15">
        <v>5</v>
      </c>
      <c r="C187" s="23">
        <f t="shared" si="75"/>
        <v>1205</v>
      </c>
      <c r="D187" s="24">
        <f>pol!D187</f>
        <v>3.5</v>
      </c>
      <c r="E187" s="25" t="str">
        <f>pol!E187</f>
        <v>STD</v>
      </c>
      <c r="F187" s="26">
        <f>pol!F187*25.4</f>
        <v>101.6</v>
      </c>
      <c r="G187" s="27">
        <f>pol!G187*25.4</f>
        <v>5.7404</v>
      </c>
      <c r="H187" s="25">
        <f t="shared" si="70"/>
        <v>90.11919999999999</v>
      </c>
      <c r="I187" s="27">
        <f t="shared" si="71"/>
        <v>17.287318796070174</v>
      </c>
      <c r="J187" s="28">
        <f t="shared" si="72"/>
        <v>63.78587785952946</v>
      </c>
      <c r="K187" s="28">
        <f t="shared" si="73"/>
        <v>13.570545254915087</v>
      </c>
      <c r="L187" s="28">
        <f t="shared" si="61"/>
        <v>6.378587785952946</v>
      </c>
      <c r="M187" s="28">
        <f t="shared" si="62"/>
        <v>19.949133040868034</v>
      </c>
      <c r="N187" s="29">
        <f t="shared" si="57"/>
        <v>199.27989381319264</v>
      </c>
      <c r="O187" s="29">
        <f t="shared" si="58"/>
        <v>39.22832555377808</v>
      </c>
      <c r="P187" s="29">
        <f t="shared" si="74"/>
        <v>3.395220004712507</v>
      </c>
    </row>
    <row r="188" spans="1:16" ht="11.25">
      <c r="A188" s="23"/>
      <c r="B188" s="15">
        <v>6</v>
      </c>
      <c r="C188" s="23">
        <f t="shared" si="75"/>
        <v>1206</v>
      </c>
      <c r="D188" s="24">
        <f>pol!D188</f>
        <v>3.5</v>
      </c>
      <c r="E188" s="25">
        <f>pol!E188</f>
        <v>80</v>
      </c>
      <c r="F188" s="26">
        <f>pol!F188*25.4</f>
        <v>101.6</v>
      </c>
      <c r="G188" s="27">
        <f>pol!G188*25.4</f>
        <v>8.0772</v>
      </c>
      <c r="H188" s="25">
        <f t="shared" si="70"/>
        <v>85.4456</v>
      </c>
      <c r="I188" s="27">
        <f t="shared" si="71"/>
        <v>23.73166505183047</v>
      </c>
      <c r="J188" s="28">
        <f t="shared" si="72"/>
        <v>57.34153160376916</v>
      </c>
      <c r="K188" s="28">
        <f t="shared" si="73"/>
        <v>18.629357065686918</v>
      </c>
      <c r="L188" s="28">
        <f t="shared" si="61"/>
        <v>5.734153160376916</v>
      </c>
      <c r="M188" s="28">
        <f t="shared" si="62"/>
        <v>24.363510226063834</v>
      </c>
      <c r="N188" s="29">
        <f t="shared" si="57"/>
        <v>261.39703102008053</v>
      </c>
      <c r="O188" s="29">
        <f t="shared" si="58"/>
        <v>51.45610846851979</v>
      </c>
      <c r="P188" s="29">
        <f t="shared" si="74"/>
        <v>3.3188392699255562</v>
      </c>
    </row>
    <row r="189" spans="1:16" ht="11.25">
      <c r="A189" s="23"/>
      <c r="B189" s="15">
        <v>7</v>
      </c>
      <c r="C189" s="23">
        <f t="shared" si="75"/>
        <v>1207</v>
      </c>
      <c r="D189" s="24">
        <f>pol!D189</f>
        <v>3.5</v>
      </c>
      <c r="E189" s="25" t="str">
        <f>pol!E189</f>
        <v>80s</v>
      </c>
      <c r="F189" s="26">
        <f>pol!F189*25.4</f>
        <v>101.6</v>
      </c>
      <c r="G189" s="27">
        <f>pol!G189*25.4</f>
        <v>8.0772</v>
      </c>
      <c r="H189" s="25">
        <f t="shared" si="70"/>
        <v>85.4456</v>
      </c>
      <c r="I189" s="27">
        <f t="shared" si="71"/>
        <v>23.73166505183047</v>
      </c>
      <c r="J189" s="28">
        <f t="shared" si="72"/>
        <v>57.34153160376916</v>
      </c>
      <c r="K189" s="28">
        <f t="shared" si="73"/>
        <v>18.629357065686918</v>
      </c>
      <c r="L189" s="28">
        <f t="shared" si="61"/>
        <v>5.734153160376916</v>
      </c>
      <c r="M189" s="28">
        <f t="shared" si="62"/>
        <v>24.363510226063834</v>
      </c>
      <c r="N189" s="29">
        <f t="shared" si="57"/>
        <v>261.39703102008053</v>
      </c>
      <c r="O189" s="29">
        <f t="shared" si="58"/>
        <v>51.45610846851979</v>
      </c>
      <c r="P189" s="29">
        <f t="shared" si="74"/>
        <v>3.3188392699255562</v>
      </c>
    </row>
    <row r="190" spans="1:16" ht="11.25">
      <c r="A190" s="23"/>
      <c r="B190" s="15">
        <v>8</v>
      </c>
      <c r="C190" s="23">
        <f t="shared" si="75"/>
        <v>1208</v>
      </c>
      <c r="D190" s="24">
        <f>pol!D190</f>
        <v>3.5</v>
      </c>
      <c r="E190" s="25" t="str">
        <f>pol!E190</f>
        <v>XS</v>
      </c>
      <c r="F190" s="26">
        <f>pol!F190*25.4</f>
        <v>101.6</v>
      </c>
      <c r="G190" s="27">
        <f>pol!G190*25.4</f>
        <v>8.0772</v>
      </c>
      <c r="H190" s="25">
        <f t="shared" si="70"/>
        <v>85.4456</v>
      </c>
      <c r="I190" s="27">
        <f t="shared" si="71"/>
        <v>23.73166505183047</v>
      </c>
      <c r="J190" s="28">
        <f t="shared" si="72"/>
        <v>57.34153160376916</v>
      </c>
      <c r="K190" s="28">
        <f t="shared" si="73"/>
        <v>18.629357065686918</v>
      </c>
      <c r="L190" s="28">
        <f t="shared" si="61"/>
        <v>5.734153160376916</v>
      </c>
      <c r="M190" s="28">
        <f t="shared" si="62"/>
        <v>24.363510226063834</v>
      </c>
      <c r="N190" s="29">
        <f t="shared" si="57"/>
        <v>261.39703102008053</v>
      </c>
      <c r="O190" s="29">
        <f t="shared" si="58"/>
        <v>51.45610846851979</v>
      </c>
      <c r="P190" s="29">
        <f t="shared" si="74"/>
        <v>3.3188392699255562</v>
      </c>
    </row>
    <row r="191" spans="1:16" ht="11.25" customHeight="1" hidden="1">
      <c r="A191" s="23"/>
      <c r="B191" s="15">
        <v>9</v>
      </c>
      <c r="C191" s="23">
        <f t="shared" si="75"/>
        <v>1209</v>
      </c>
      <c r="D191" s="24"/>
      <c r="E191" s="25"/>
      <c r="F191" s="26"/>
      <c r="G191" s="27"/>
      <c r="H191" s="25"/>
      <c r="I191" s="27"/>
      <c r="J191" s="28"/>
      <c r="K191" s="28"/>
      <c r="L191" s="28"/>
      <c r="M191" s="28"/>
      <c r="N191" s="29"/>
      <c r="O191" s="29"/>
      <c r="P191" s="29"/>
    </row>
    <row r="192" spans="1:16" ht="11.25" customHeight="1" hidden="1">
      <c r="A192" s="23"/>
      <c r="B192" s="15">
        <v>10</v>
      </c>
      <c r="C192" s="23">
        <f t="shared" si="75"/>
        <v>1210</v>
      </c>
      <c r="D192" s="24"/>
      <c r="E192" s="25"/>
      <c r="F192" s="26"/>
      <c r="G192" s="27"/>
      <c r="H192" s="25"/>
      <c r="I192" s="27"/>
      <c r="J192" s="28"/>
      <c r="K192" s="28"/>
      <c r="L192" s="28"/>
      <c r="M192" s="28"/>
      <c r="N192" s="29"/>
      <c r="O192" s="29"/>
      <c r="P192" s="29"/>
    </row>
    <row r="193" spans="1:16" ht="11.25" customHeight="1" hidden="1">
      <c r="A193" s="23"/>
      <c r="B193" s="15">
        <v>11</v>
      </c>
      <c r="C193" s="23">
        <f t="shared" si="75"/>
        <v>1211</v>
      </c>
      <c r="D193" s="24"/>
      <c r="E193" s="25"/>
      <c r="F193" s="26"/>
      <c r="G193" s="27"/>
      <c r="H193" s="25"/>
      <c r="I193" s="27"/>
      <c r="J193" s="28"/>
      <c r="K193" s="28"/>
      <c r="L193" s="28"/>
      <c r="M193" s="28"/>
      <c r="N193" s="29"/>
      <c r="O193" s="29"/>
      <c r="P193" s="29"/>
    </row>
    <row r="194" spans="1:16" ht="11.25" customHeight="1" hidden="1">
      <c r="A194" s="23"/>
      <c r="B194" s="15">
        <v>12</v>
      </c>
      <c r="C194" s="23">
        <f t="shared" si="75"/>
        <v>1212</v>
      </c>
      <c r="D194" s="24"/>
      <c r="E194" s="25"/>
      <c r="F194" s="26"/>
      <c r="G194" s="27"/>
      <c r="H194" s="25"/>
      <c r="I194" s="27"/>
      <c r="J194" s="28"/>
      <c r="K194" s="28"/>
      <c r="L194" s="28"/>
      <c r="M194" s="28"/>
      <c r="N194" s="29"/>
      <c r="O194" s="29"/>
      <c r="P194" s="29"/>
    </row>
    <row r="195" spans="1:16" ht="11.25" customHeight="1" hidden="1">
      <c r="A195" s="23"/>
      <c r="B195" s="15">
        <v>13</v>
      </c>
      <c r="C195" s="23">
        <f t="shared" si="75"/>
        <v>1213</v>
      </c>
      <c r="D195" s="24"/>
      <c r="E195" s="25"/>
      <c r="F195" s="26"/>
      <c r="G195" s="27"/>
      <c r="H195" s="25"/>
      <c r="I195" s="27"/>
      <c r="J195" s="28"/>
      <c r="K195" s="28"/>
      <c r="L195" s="28"/>
      <c r="M195" s="28"/>
      <c r="N195" s="29"/>
      <c r="O195" s="29"/>
      <c r="P195" s="29"/>
    </row>
    <row r="196" spans="1:16" ht="11.25" customHeight="1" hidden="1">
      <c r="A196" s="23"/>
      <c r="B196" s="15">
        <v>14</v>
      </c>
      <c r="C196" s="23">
        <f t="shared" si="75"/>
        <v>1214</v>
      </c>
      <c r="D196" s="24"/>
      <c r="E196" s="25"/>
      <c r="F196" s="26"/>
      <c r="G196" s="27"/>
      <c r="H196" s="25"/>
      <c r="I196" s="27"/>
      <c r="J196" s="28"/>
      <c r="K196" s="28"/>
      <c r="L196" s="28"/>
      <c r="M196" s="28"/>
      <c r="N196" s="29"/>
      <c r="O196" s="29"/>
      <c r="P196" s="29"/>
    </row>
    <row r="197" spans="1:16" ht="11.25" customHeight="1" hidden="1">
      <c r="A197" s="23"/>
      <c r="B197" s="15">
        <v>15</v>
      </c>
      <c r="C197" s="23">
        <f t="shared" si="75"/>
        <v>1215</v>
      </c>
      <c r="D197" s="24"/>
      <c r="E197" s="25"/>
      <c r="F197" s="26"/>
      <c r="G197" s="27"/>
      <c r="H197" s="25"/>
      <c r="I197" s="27"/>
      <c r="J197" s="28"/>
      <c r="K197" s="28"/>
      <c r="L197" s="28"/>
      <c r="M197" s="28"/>
      <c r="N197" s="29"/>
      <c r="O197" s="29"/>
      <c r="P197" s="29"/>
    </row>
    <row r="198" spans="1:16" ht="11.25" customHeight="1" hidden="1">
      <c r="A198" s="23"/>
      <c r="B198" s="15">
        <v>16</v>
      </c>
      <c r="C198" s="23">
        <f t="shared" si="75"/>
        <v>1216</v>
      </c>
      <c r="D198" s="24"/>
      <c r="E198" s="25"/>
      <c r="F198" s="26"/>
      <c r="G198" s="27"/>
      <c r="H198" s="25"/>
      <c r="I198" s="27"/>
      <c r="J198" s="28"/>
      <c r="K198" s="28"/>
      <c r="L198" s="28"/>
      <c r="M198" s="28"/>
      <c r="N198" s="29"/>
      <c r="O198" s="29"/>
      <c r="P198" s="29"/>
    </row>
    <row r="199" spans="1:16" ht="11.25">
      <c r="A199" s="23">
        <v>13</v>
      </c>
      <c r="B199" s="15">
        <v>1</v>
      </c>
      <c r="C199" s="23">
        <f>$A$199*100+B199</f>
        <v>1301</v>
      </c>
      <c r="D199" s="24">
        <f>pol!D199</f>
        <v>4</v>
      </c>
      <c r="E199" s="25" t="str">
        <f>pol!E199</f>
        <v>5s</v>
      </c>
      <c r="F199" s="26">
        <f>pol!F199*25.4</f>
        <v>114.3</v>
      </c>
      <c r="G199" s="27">
        <f>pol!G199*25.4</f>
        <v>2.1082</v>
      </c>
      <c r="H199" s="25">
        <f t="shared" si="70"/>
        <v>110.08359999999999</v>
      </c>
      <c r="I199" s="27">
        <f t="shared" si="71"/>
        <v>7.430581424776523</v>
      </c>
      <c r="J199" s="28">
        <f t="shared" si="72"/>
        <v>95.17768309246676</v>
      </c>
      <c r="K199" s="28">
        <f t="shared" si="73"/>
        <v>5.833006418449571</v>
      </c>
      <c r="L199" s="28">
        <f t="shared" si="61"/>
        <v>9.517768309246676</v>
      </c>
      <c r="M199" s="28">
        <f t="shared" si="62"/>
        <v>15.350774727696248</v>
      </c>
      <c r="N199" s="29">
        <f t="shared" si="57"/>
        <v>116.95219196473451</v>
      </c>
      <c r="O199" s="29">
        <f t="shared" si="58"/>
        <v>20.464075584380492</v>
      </c>
      <c r="P199" s="29">
        <f t="shared" si="74"/>
        <v>3.9672793723280924</v>
      </c>
    </row>
    <row r="200" spans="1:16" ht="11.25">
      <c r="A200" s="23"/>
      <c r="B200" s="15">
        <v>2</v>
      </c>
      <c r="C200" s="23">
        <f aca="true" t="shared" si="76" ref="C200:C214">$A$199*100+B200</f>
        <v>1302</v>
      </c>
      <c r="D200" s="24">
        <f>pol!D200</f>
        <v>4</v>
      </c>
      <c r="E200" s="25" t="str">
        <f>pol!E200</f>
        <v>10s</v>
      </c>
      <c r="F200" s="26">
        <f>pol!F200*25.4</f>
        <v>114.3</v>
      </c>
      <c r="G200" s="27">
        <f>pol!G200*25.4</f>
        <v>3.0479999999999996</v>
      </c>
      <c r="H200" s="25">
        <f t="shared" si="70"/>
        <v>108.204</v>
      </c>
      <c r="I200" s="27">
        <f t="shared" si="71"/>
        <v>10.653018040545799</v>
      </c>
      <c r="J200" s="28">
        <f t="shared" si="72"/>
        <v>91.95524647669748</v>
      </c>
      <c r="K200" s="28">
        <f t="shared" si="73"/>
        <v>8.362619161828453</v>
      </c>
      <c r="L200" s="28">
        <f t="shared" si="61"/>
        <v>9.195524647669748</v>
      </c>
      <c r="M200" s="28">
        <f t="shared" si="62"/>
        <v>17.5581438094982</v>
      </c>
      <c r="N200" s="29">
        <f t="shared" si="57"/>
        <v>164.9393175052462</v>
      </c>
      <c r="O200" s="29">
        <f t="shared" si="58"/>
        <v>28.86077296679724</v>
      </c>
      <c r="P200" s="29">
        <f t="shared" si="74"/>
        <v>3.9348281106040717</v>
      </c>
    </row>
    <row r="201" spans="1:16" ht="11.25">
      <c r="A201" s="23"/>
      <c r="B201" s="15">
        <v>3</v>
      </c>
      <c r="C201" s="23">
        <f t="shared" si="76"/>
        <v>1303</v>
      </c>
      <c r="D201" s="24">
        <f>pol!D201</f>
        <v>4</v>
      </c>
      <c r="E201" s="25">
        <f>pol!E201</f>
        <v>40</v>
      </c>
      <c r="F201" s="26">
        <f>pol!F201*25.4</f>
        <v>114.3</v>
      </c>
      <c r="G201" s="27">
        <f>pol!G201*25.4</f>
        <v>6.019799999999999</v>
      </c>
      <c r="H201" s="25">
        <f t="shared" si="70"/>
        <v>102.2604</v>
      </c>
      <c r="I201" s="27">
        <f t="shared" si="71"/>
        <v>20.477690962562157</v>
      </c>
      <c r="J201" s="28">
        <f t="shared" si="72"/>
        <v>82.13057355468113</v>
      </c>
      <c r="K201" s="28">
        <f t="shared" si="73"/>
        <v>16.074987405611292</v>
      </c>
      <c r="L201" s="28">
        <f t="shared" si="61"/>
        <v>8.213057355468115</v>
      </c>
      <c r="M201" s="28">
        <f t="shared" si="62"/>
        <v>24.288044761079405</v>
      </c>
      <c r="N201" s="29">
        <f t="shared" si="57"/>
        <v>301.0435511504764</v>
      </c>
      <c r="O201" s="29">
        <f t="shared" si="58"/>
        <v>52.67603694671503</v>
      </c>
      <c r="P201" s="29">
        <f t="shared" si="74"/>
        <v>3.83419478249345</v>
      </c>
    </row>
    <row r="202" spans="1:16" ht="11.25">
      <c r="A202" s="23"/>
      <c r="B202" s="15">
        <v>4</v>
      </c>
      <c r="C202" s="23">
        <f t="shared" si="76"/>
        <v>1304</v>
      </c>
      <c r="D202" s="24">
        <f>pol!D202</f>
        <v>4</v>
      </c>
      <c r="E202" s="25" t="str">
        <f>pol!E202</f>
        <v>40s</v>
      </c>
      <c r="F202" s="26">
        <f>pol!F202*25.4</f>
        <v>114.3</v>
      </c>
      <c r="G202" s="27">
        <f>pol!G202*25.4</f>
        <v>6.019799999999999</v>
      </c>
      <c r="H202" s="25">
        <f t="shared" si="70"/>
        <v>102.2604</v>
      </c>
      <c r="I202" s="27">
        <f t="shared" si="71"/>
        <v>20.477690962562157</v>
      </c>
      <c r="J202" s="28">
        <f t="shared" si="72"/>
        <v>82.13057355468113</v>
      </c>
      <c r="K202" s="28">
        <f t="shared" si="73"/>
        <v>16.074987405611292</v>
      </c>
      <c r="L202" s="28">
        <f aca="true" t="shared" si="77" ref="L202:L265">J202*0.1</f>
        <v>8.213057355468115</v>
      </c>
      <c r="M202" s="28">
        <f aca="true" t="shared" si="78" ref="M202:M265">L202+K202</f>
        <v>24.288044761079405</v>
      </c>
      <c r="N202" s="29">
        <f t="shared" si="57"/>
        <v>301.0435511504764</v>
      </c>
      <c r="O202" s="29">
        <f t="shared" si="58"/>
        <v>52.67603694671503</v>
      </c>
      <c r="P202" s="29">
        <f t="shared" si="74"/>
        <v>3.83419478249345</v>
      </c>
    </row>
    <row r="203" spans="1:16" ht="11.25">
      <c r="A203" s="23"/>
      <c r="B203" s="15">
        <v>5</v>
      </c>
      <c r="C203" s="23">
        <f t="shared" si="76"/>
        <v>1305</v>
      </c>
      <c r="D203" s="24">
        <f>pol!D203</f>
        <v>4</v>
      </c>
      <c r="E203" s="25" t="str">
        <f>pol!E203</f>
        <v>STD</v>
      </c>
      <c r="F203" s="26">
        <f>pol!F203*25.4</f>
        <v>114.3</v>
      </c>
      <c r="G203" s="27">
        <f>pol!G203*25.4</f>
        <v>6.019799999999999</v>
      </c>
      <c r="H203" s="25">
        <f t="shared" si="70"/>
        <v>102.2604</v>
      </c>
      <c r="I203" s="27">
        <f t="shared" si="71"/>
        <v>20.477690962562157</v>
      </c>
      <c r="J203" s="28">
        <f t="shared" si="72"/>
        <v>82.13057355468113</v>
      </c>
      <c r="K203" s="28">
        <f t="shared" si="73"/>
        <v>16.074987405611292</v>
      </c>
      <c r="L203" s="28">
        <f t="shared" si="77"/>
        <v>8.213057355468115</v>
      </c>
      <c r="M203" s="28">
        <f t="shared" si="78"/>
        <v>24.288044761079405</v>
      </c>
      <c r="N203" s="29">
        <f t="shared" si="57"/>
        <v>301.0435511504764</v>
      </c>
      <c r="O203" s="29">
        <f t="shared" si="58"/>
        <v>52.67603694671503</v>
      </c>
      <c r="P203" s="29">
        <f t="shared" si="74"/>
        <v>3.83419478249345</v>
      </c>
    </row>
    <row r="204" spans="1:16" ht="11.25">
      <c r="A204" s="23"/>
      <c r="B204" s="15">
        <v>6</v>
      </c>
      <c r="C204" s="23">
        <f t="shared" si="76"/>
        <v>1306</v>
      </c>
      <c r="D204" s="24">
        <f>pol!D204</f>
        <v>4</v>
      </c>
      <c r="E204" s="25">
        <f>pol!E204</f>
        <v>80</v>
      </c>
      <c r="F204" s="26">
        <f>pol!F204*25.4</f>
        <v>114.3</v>
      </c>
      <c r="G204" s="27">
        <f>pol!G204*25.4</f>
        <v>8.5598</v>
      </c>
      <c r="H204" s="25">
        <f t="shared" si="70"/>
        <v>97.18039999999999</v>
      </c>
      <c r="I204" s="27">
        <f t="shared" si="71"/>
        <v>28.43502521430927</v>
      </c>
      <c r="J204" s="28">
        <f t="shared" si="72"/>
        <v>74.17323930293402</v>
      </c>
      <c r="K204" s="28">
        <f t="shared" si="73"/>
        <v>22.321494793232777</v>
      </c>
      <c r="L204" s="28">
        <f t="shared" si="77"/>
        <v>7.417323930293403</v>
      </c>
      <c r="M204" s="28">
        <f t="shared" si="78"/>
        <v>29.73881872352618</v>
      </c>
      <c r="N204" s="29">
        <f t="shared" si="57"/>
        <v>400.0189611474864</v>
      </c>
      <c r="O204" s="29">
        <f t="shared" si="58"/>
        <v>69.99456887970015</v>
      </c>
      <c r="P204" s="29">
        <f t="shared" si="74"/>
        <v>3.75070994481045</v>
      </c>
    </row>
    <row r="205" spans="1:16" ht="11.25">
      <c r="A205" s="23"/>
      <c r="B205" s="15">
        <v>7</v>
      </c>
      <c r="C205" s="23">
        <f t="shared" si="76"/>
        <v>1307</v>
      </c>
      <c r="D205" s="24">
        <f>pol!D205</f>
        <v>4</v>
      </c>
      <c r="E205" s="25" t="str">
        <f>pol!E205</f>
        <v>80s</v>
      </c>
      <c r="F205" s="26">
        <f>pol!F205*25.4</f>
        <v>114.3</v>
      </c>
      <c r="G205" s="27">
        <f>pol!G205*25.4</f>
        <v>8.5598</v>
      </c>
      <c r="H205" s="25">
        <f t="shared" si="70"/>
        <v>97.18039999999999</v>
      </c>
      <c r="I205" s="27">
        <f t="shared" si="71"/>
        <v>28.43502521430927</v>
      </c>
      <c r="J205" s="28">
        <f t="shared" si="72"/>
        <v>74.17323930293402</v>
      </c>
      <c r="K205" s="28">
        <f t="shared" si="73"/>
        <v>22.321494793232777</v>
      </c>
      <c r="L205" s="28">
        <f t="shared" si="77"/>
        <v>7.417323930293403</v>
      </c>
      <c r="M205" s="28">
        <f t="shared" si="78"/>
        <v>29.73881872352618</v>
      </c>
      <c r="N205" s="29">
        <f t="shared" si="57"/>
        <v>400.0189611474864</v>
      </c>
      <c r="O205" s="29">
        <f t="shared" si="58"/>
        <v>69.99456887970015</v>
      </c>
      <c r="P205" s="29">
        <f t="shared" si="74"/>
        <v>3.75070994481045</v>
      </c>
    </row>
    <row r="206" spans="1:16" ht="11.25">
      <c r="A206" s="23"/>
      <c r="B206" s="15">
        <v>8</v>
      </c>
      <c r="C206" s="23">
        <f t="shared" si="76"/>
        <v>1308</v>
      </c>
      <c r="D206" s="24">
        <f>pol!D206</f>
        <v>4</v>
      </c>
      <c r="E206" s="25" t="str">
        <f>pol!E206</f>
        <v>XS</v>
      </c>
      <c r="F206" s="26">
        <f>pol!F206*25.4</f>
        <v>114.3</v>
      </c>
      <c r="G206" s="27">
        <f>pol!G206*25.4</f>
        <v>8.5598</v>
      </c>
      <c r="H206" s="25">
        <f aca="true" t="shared" si="79" ref="H206:H237">F206-2*G206</f>
        <v>97.18039999999999</v>
      </c>
      <c r="I206" s="27">
        <f aca="true" t="shared" si="80" ref="I206:I237">PI()*(F206^2-H206^2)/400</f>
        <v>28.43502521430927</v>
      </c>
      <c r="J206" s="28">
        <f aca="true" t="shared" si="81" ref="J206:J237">PI()*H206^2/400</f>
        <v>74.17323930293402</v>
      </c>
      <c r="K206" s="28">
        <f aca="true" t="shared" si="82" ref="K206:K237">0.785*I206</f>
        <v>22.321494793232777</v>
      </c>
      <c r="L206" s="28">
        <f t="shared" si="77"/>
        <v>7.417323930293403</v>
      </c>
      <c r="M206" s="28">
        <f t="shared" si="78"/>
        <v>29.73881872352618</v>
      </c>
      <c r="N206" s="29">
        <f t="shared" si="57"/>
        <v>400.0189611474864</v>
      </c>
      <c r="O206" s="29">
        <f t="shared" si="58"/>
        <v>69.99456887970015</v>
      </c>
      <c r="P206" s="29">
        <f aca="true" t="shared" si="83" ref="P206:P237">SQRT(N206/I206)</f>
        <v>3.75070994481045</v>
      </c>
    </row>
    <row r="207" spans="1:16" ht="11.25">
      <c r="A207" s="23"/>
      <c r="B207" s="15">
        <v>9</v>
      </c>
      <c r="C207" s="23">
        <f t="shared" si="76"/>
        <v>1309</v>
      </c>
      <c r="D207" s="24">
        <f>pol!D207</f>
        <v>4</v>
      </c>
      <c r="E207" s="25">
        <f>pol!E207</f>
        <v>120</v>
      </c>
      <c r="F207" s="26">
        <f>pol!F207*25.4</f>
        <v>114.3</v>
      </c>
      <c r="G207" s="27">
        <f>pol!G207*25.4</f>
        <v>11.1252</v>
      </c>
      <c r="H207" s="25">
        <f t="shared" si="79"/>
        <v>92.0496</v>
      </c>
      <c r="I207" s="27">
        <f t="shared" si="80"/>
        <v>36.06046606724751</v>
      </c>
      <c r="J207" s="28">
        <f t="shared" si="81"/>
        <v>66.54779844999578</v>
      </c>
      <c r="K207" s="28">
        <f t="shared" si="82"/>
        <v>28.307465862789297</v>
      </c>
      <c r="L207" s="28">
        <f t="shared" si="77"/>
        <v>6.654779844999578</v>
      </c>
      <c r="M207" s="28">
        <f t="shared" si="78"/>
        <v>34.962245707788874</v>
      </c>
      <c r="N207" s="29">
        <f t="shared" si="57"/>
        <v>485.41035879756856</v>
      </c>
      <c r="O207" s="29">
        <f t="shared" si="58"/>
        <v>84.93619576510386</v>
      </c>
      <c r="P207" s="29">
        <f t="shared" si="83"/>
        <v>3.6689251542652106</v>
      </c>
    </row>
    <row r="208" spans="1:16" ht="11.25">
      <c r="A208" s="23"/>
      <c r="B208" s="15">
        <v>10</v>
      </c>
      <c r="C208" s="23">
        <f t="shared" si="76"/>
        <v>1310</v>
      </c>
      <c r="D208" s="24">
        <f>pol!D208</f>
        <v>4</v>
      </c>
      <c r="E208" s="25">
        <f>pol!E208</f>
        <v>160</v>
      </c>
      <c r="F208" s="26">
        <f>pol!F208*25.4</f>
        <v>114.3</v>
      </c>
      <c r="G208" s="27">
        <f>pol!G208*25.4</f>
        <v>13.4874</v>
      </c>
      <c r="H208" s="25">
        <f t="shared" si="79"/>
        <v>87.3252</v>
      </c>
      <c r="I208" s="27">
        <f t="shared" si="80"/>
        <v>42.71623095158646</v>
      </c>
      <c r="J208" s="28">
        <f t="shared" si="81"/>
        <v>59.89203356565683</v>
      </c>
      <c r="K208" s="28">
        <f t="shared" si="82"/>
        <v>33.53224129699537</v>
      </c>
      <c r="L208" s="28">
        <f t="shared" si="77"/>
        <v>5.9892033565656835</v>
      </c>
      <c r="M208" s="28">
        <f t="shared" si="78"/>
        <v>39.521444653561055</v>
      </c>
      <c r="N208" s="29">
        <f t="shared" si="57"/>
        <v>552.3790818869451</v>
      </c>
      <c r="O208" s="29">
        <f t="shared" si="58"/>
        <v>96.65425754802189</v>
      </c>
      <c r="P208" s="29">
        <f t="shared" si="83"/>
        <v>3.5960204180315776</v>
      </c>
    </row>
    <row r="209" spans="1:16" ht="11.25">
      <c r="A209" s="23"/>
      <c r="B209" s="15">
        <v>11</v>
      </c>
      <c r="C209" s="23">
        <f t="shared" si="76"/>
        <v>1311</v>
      </c>
      <c r="D209" s="24">
        <f>pol!D209</f>
        <v>4</v>
      </c>
      <c r="E209" s="25" t="str">
        <f>pol!E209</f>
        <v>XXS</v>
      </c>
      <c r="F209" s="26">
        <f>pol!F209*25.4</f>
        <v>114.3</v>
      </c>
      <c r="G209" s="27">
        <f>pol!G209*25.4</f>
        <v>17.1196</v>
      </c>
      <c r="H209" s="25">
        <f t="shared" si="79"/>
        <v>80.0608</v>
      </c>
      <c r="I209" s="27">
        <f t="shared" si="80"/>
        <v>52.26634949312863</v>
      </c>
      <c r="J209" s="28">
        <f t="shared" si="81"/>
        <v>50.34191502411466</v>
      </c>
      <c r="K209" s="28">
        <f t="shared" si="82"/>
        <v>41.029084352105976</v>
      </c>
      <c r="L209" s="28">
        <f t="shared" si="77"/>
        <v>5.034191502411467</v>
      </c>
      <c r="M209" s="28">
        <f t="shared" si="78"/>
        <v>46.06327585451744</v>
      </c>
      <c r="N209" s="29">
        <f t="shared" si="57"/>
        <v>636.1540483145342</v>
      </c>
      <c r="O209" s="29">
        <f t="shared" si="58"/>
        <v>111.31304432450293</v>
      </c>
      <c r="P209" s="29">
        <f t="shared" si="83"/>
        <v>3.4887517195122957</v>
      </c>
    </row>
    <row r="210" spans="1:16" ht="11.25" customHeight="1" hidden="1">
      <c r="A210" s="23"/>
      <c r="B210" s="15">
        <v>12</v>
      </c>
      <c r="C210" s="23">
        <f t="shared" si="76"/>
        <v>1312</v>
      </c>
      <c r="D210" s="24"/>
      <c r="E210" s="25"/>
      <c r="F210" s="26"/>
      <c r="G210" s="27"/>
      <c r="H210" s="25"/>
      <c r="I210" s="27"/>
      <c r="J210" s="28"/>
      <c r="K210" s="28"/>
      <c r="L210" s="28"/>
      <c r="M210" s="28"/>
      <c r="N210" s="29"/>
      <c r="O210" s="29"/>
      <c r="P210" s="29"/>
    </row>
    <row r="211" spans="1:16" ht="11.25" customHeight="1" hidden="1">
      <c r="A211" s="23"/>
      <c r="B211" s="15">
        <v>13</v>
      </c>
      <c r="C211" s="23">
        <f t="shared" si="76"/>
        <v>1313</v>
      </c>
      <c r="D211" s="24"/>
      <c r="E211" s="25"/>
      <c r="F211" s="26"/>
      <c r="G211" s="27"/>
      <c r="H211" s="25"/>
      <c r="I211" s="27"/>
      <c r="J211" s="28"/>
      <c r="K211" s="28"/>
      <c r="L211" s="28"/>
      <c r="M211" s="28"/>
      <c r="N211" s="29"/>
      <c r="O211" s="29"/>
      <c r="P211" s="29"/>
    </row>
    <row r="212" spans="1:16" ht="11.25" customHeight="1" hidden="1">
      <c r="A212" s="23"/>
      <c r="B212" s="15">
        <v>14</v>
      </c>
      <c r="C212" s="23">
        <f t="shared" si="76"/>
        <v>1314</v>
      </c>
      <c r="D212" s="24"/>
      <c r="E212" s="25"/>
      <c r="F212" s="26"/>
      <c r="G212" s="27"/>
      <c r="H212" s="25"/>
      <c r="I212" s="27"/>
      <c r="J212" s="28"/>
      <c r="K212" s="28"/>
      <c r="L212" s="28"/>
      <c r="M212" s="28"/>
      <c r="N212" s="29"/>
      <c r="O212" s="29"/>
      <c r="P212" s="29"/>
    </row>
    <row r="213" spans="1:16" ht="11.25" customHeight="1" hidden="1">
      <c r="A213" s="23"/>
      <c r="B213" s="15">
        <v>15</v>
      </c>
      <c r="C213" s="23">
        <f t="shared" si="76"/>
        <v>1315</v>
      </c>
      <c r="D213" s="24"/>
      <c r="E213" s="25"/>
      <c r="F213" s="26"/>
      <c r="G213" s="27"/>
      <c r="H213" s="25"/>
      <c r="I213" s="27"/>
      <c r="J213" s="28"/>
      <c r="K213" s="28"/>
      <c r="L213" s="28"/>
      <c r="M213" s="28"/>
      <c r="N213" s="29"/>
      <c r="O213" s="29"/>
      <c r="P213" s="29"/>
    </row>
    <row r="214" spans="1:16" ht="11.25" customHeight="1" hidden="1">
      <c r="A214" s="23"/>
      <c r="B214" s="15">
        <v>16</v>
      </c>
      <c r="C214" s="23">
        <f t="shared" si="76"/>
        <v>1316</v>
      </c>
      <c r="D214" s="24"/>
      <c r="E214" s="25"/>
      <c r="F214" s="26"/>
      <c r="G214" s="27"/>
      <c r="H214" s="25"/>
      <c r="I214" s="27"/>
      <c r="J214" s="28"/>
      <c r="K214" s="28"/>
      <c r="L214" s="28"/>
      <c r="M214" s="28"/>
      <c r="N214" s="29"/>
      <c r="O214" s="29"/>
      <c r="P214" s="29"/>
    </row>
    <row r="215" spans="1:16" ht="11.25">
      <c r="A215" s="23">
        <v>14</v>
      </c>
      <c r="B215" s="15">
        <v>1</v>
      </c>
      <c r="C215" s="23">
        <f>$A$215*100+B215</f>
        <v>1401</v>
      </c>
      <c r="D215" s="24">
        <f>pol!D215</f>
        <v>5</v>
      </c>
      <c r="E215" s="25" t="str">
        <f>pol!E215</f>
        <v>5s</v>
      </c>
      <c r="F215" s="26">
        <f>pol!F215*25.4</f>
        <v>141.3002</v>
      </c>
      <c r="G215" s="27">
        <f>pol!G215*25.4</f>
        <v>2.7685999999999997</v>
      </c>
      <c r="H215" s="25">
        <f t="shared" si="79"/>
        <v>135.76299999999998</v>
      </c>
      <c r="I215" s="27">
        <f t="shared" si="80"/>
        <v>12.049220096750235</v>
      </c>
      <c r="J215" s="28">
        <f t="shared" si="81"/>
        <v>144.76138638023383</v>
      </c>
      <c r="K215" s="28">
        <f t="shared" si="82"/>
        <v>9.458637775948935</v>
      </c>
      <c r="L215" s="28">
        <f t="shared" si="77"/>
        <v>14.476138638023384</v>
      </c>
      <c r="M215" s="28">
        <f t="shared" si="78"/>
        <v>23.93477641397232</v>
      </c>
      <c r="N215" s="29">
        <f t="shared" si="57"/>
        <v>289.16124062106536</v>
      </c>
      <c r="O215" s="29">
        <f t="shared" si="58"/>
        <v>40.928638547017684</v>
      </c>
      <c r="P215" s="29">
        <f t="shared" si="83"/>
        <v>4.898809720804628</v>
      </c>
    </row>
    <row r="216" spans="1:16" ht="11.25">
      <c r="A216" s="23"/>
      <c r="B216" s="15">
        <v>2</v>
      </c>
      <c r="C216" s="23">
        <f aca="true" t="shared" si="84" ref="C216:C230">$A$215*100+B216</f>
        <v>1402</v>
      </c>
      <c r="D216" s="24">
        <f>pol!D216</f>
        <v>5</v>
      </c>
      <c r="E216" s="25" t="str">
        <f>pol!E216</f>
        <v>10s</v>
      </c>
      <c r="F216" s="26">
        <f>pol!F216*25.4</f>
        <v>141.3002</v>
      </c>
      <c r="G216" s="27">
        <f>pol!G216*25.4</f>
        <v>3.4036</v>
      </c>
      <c r="H216" s="25">
        <f t="shared" si="79"/>
        <v>134.493</v>
      </c>
      <c r="I216" s="27">
        <f t="shared" si="80"/>
        <v>14.744903885548858</v>
      </c>
      <c r="J216" s="28">
        <f t="shared" si="81"/>
        <v>142.0657025914352</v>
      </c>
      <c r="K216" s="28">
        <f t="shared" si="82"/>
        <v>11.574749550155854</v>
      </c>
      <c r="L216" s="28">
        <f t="shared" si="77"/>
        <v>14.206570259143522</v>
      </c>
      <c r="M216" s="28">
        <f t="shared" si="78"/>
        <v>25.781319809299376</v>
      </c>
      <c r="N216" s="29">
        <f t="shared" si="57"/>
        <v>350.6901543907846</v>
      </c>
      <c r="O216" s="29">
        <f t="shared" si="58"/>
        <v>49.63760198368929</v>
      </c>
      <c r="P216" s="29">
        <f t="shared" si="83"/>
        <v>4.876865897341242</v>
      </c>
    </row>
    <row r="217" spans="1:16" ht="11.25">
      <c r="A217" s="23"/>
      <c r="B217" s="15">
        <v>3</v>
      </c>
      <c r="C217" s="23">
        <f t="shared" si="84"/>
        <v>1403</v>
      </c>
      <c r="D217" s="24">
        <f>pol!D217</f>
        <v>5</v>
      </c>
      <c r="E217" s="25">
        <f>pol!E217</f>
        <v>40</v>
      </c>
      <c r="F217" s="26">
        <f>pol!F217*25.4</f>
        <v>141.3002</v>
      </c>
      <c r="G217" s="27">
        <f>pol!G217*25.4</f>
        <v>6.5531999999999995</v>
      </c>
      <c r="H217" s="25">
        <f t="shared" si="79"/>
        <v>128.19379999999998</v>
      </c>
      <c r="I217" s="27">
        <f t="shared" si="80"/>
        <v>27.741018382638185</v>
      </c>
      <c r="J217" s="28">
        <f t="shared" si="81"/>
        <v>129.0695880943459</v>
      </c>
      <c r="K217" s="28">
        <f t="shared" si="82"/>
        <v>21.776699430370975</v>
      </c>
      <c r="L217" s="28">
        <f t="shared" si="77"/>
        <v>12.906958809434592</v>
      </c>
      <c r="M217" s="28">
        <f t="shared" si="78"/>
        <v>34.68365823980557</v>
      </c>
      <c r="N217" s="29">
        <f t="shared" si="57"/>
        <v>631.0977112017844</v>
      </c>
      <c r="O217" s="29">
        <f t="shared" si="58"/>
        <v>89.32722122145395</v>
      </c>
      <c r="P217" s="29">
        <f t="shared" si="83"/>
        <v>4.769656491724531</v>
      </c>
    </row>
    <row r="218" spans="1:16" ht="11.25">
      <c r="A218" s="23"/>
      <c r="B218" s="15">
        <v>4</v>
      </c>
      <c r="C218" s="23">
        <f t="shared" si="84"/>
        <v>1404</v>
      </c>
      <c r="D218" s="24">
        <f>pol!D218</f>
        <v>5</v>
      </c>
      <c r="E218" s="25" t="str">
        <f>pol!E218</f>
        <v>40s</v>
      </c>
      <c r="F218" s="26">
        <f>pol!F218*25.4</f>
        <v>141.3002</v>
      </c>
      <c r="G218" s="27">
        <f>pol!G218*25.4</f>
        <v>6.5531999999999995</v>
      </c>
      <c r="H218" s="25">
        <f t="shared" si="79"/>
        <v>128.19379999999998</v>
      </c>
      <c r="I218" s="27">
        <f t="shared" si="80"/>
        <v>27.741018382638185</v>
      </c>
      <c r="J218" s="28">
        <f t="shared" si="81"/>
        <v>129.0695880943459</v>
      </c>
      <c r="K218" s="28">
        <f t="shared" si="82"/>
        <v>21.776699430370975</v>
      </c>
      <c r="L218" s="28">
        <f t="shared" si="77"/>
        <v>12.906958809434592</v>
      </c>
      <c r="M218" s="28">
        <f t="shared" si="78"/>
        <v>34.68365823980557</v>
      </c>
      <c r="N218" s="29">
        <f t="shared" si="57"/>
        <v>631.0977112017844</v>
      </c>
      <c r="O218" s="29">
        <f t="shared" si="58"/>
        <v>89.32722122145395</v>
      </c>
      <c r="P218" s="29">
        <f t="shared" si="83"/>
        <v>4.769656491724531</v>
      </c>
    </row>
    <row r="219" spans="1:16" ht="11.25">
      <c r="A219" s="23"/>
      <c r="B219" s="15">
        <v>5</v>
      </c>
      <c r="C219" s="23">
        <f t="shared" si="84"/>
        <v>1405</v>
      </c>
      <c r="D219" s="24">
        <f>pol!D219</f>
        <v>5</v>
      </c>
      <c r="E219" s="25" t="str">
        <f>pol!E219</f>
        <v>STD</v>
      </c>
      <c r="F219" s="26">
        <f>pol!F219*25.4</f>
        <v>141.3002</v>
      </c>
      <c r="G219" s="27">
        <f>pol!G219*25.4</f>
        <v>6.5531999999999995</v>
      </c>
      <c r="H219" s="25">
        <f t="shared" si="79"/>
        <v>128.19379999999998</v>
      </c>
      <c r="I219" s="27">
        <f t="shared" si="80"/>
        <v>27.741018382638185</v>
      </c>
      <c r="J219" s="28">
        <f t="shared" si="81"/>
        <v>129.0695880943459</v>
      </c>
      <c r="K219" s="28">
        <f t="shared" si="82"/>
        <v>21.776699430370975</v>
      </c>
      <c r="L219" s="28">
        <f t="shared" si="77"/>
        <v>12.906958809434592</v>
      </c>
      <c r="M219" s="28">
        <f t="shared" si="78"/>
        <v>34.68365823980557</v>
      </c>
      <c r="N219" s="29">
        <f t="shared" si="57"/>
        <v>631.0977112017844</v>
      </c>
      <c r="O219" s="29">
        <f t="shared" si="58"/>
        <v>89.32722122145395</v>
      </c>
      <c r="P219" s="29">
        <f t="shared" si="83"/>
        <v>4.769656491724531</v>
      </c>
    </row>
    <row r="220" spans="1:16" ht="11.25">
      <c r="A220" s="23"/>
      <c r="B220" s="15">
        <v>6</v>
      </c>
      <c r="C220" s="23">
        <f t="shared" si="84"/>
        <v>1406</v>
      </c>
      <c r="D220" s="24">
        <f>pol!D220</f>
        <v>5</v>
      </c>
      <c r="E220" s="25">
        <f>pol!E220</f>
        <v>80</v>
      </c>
      <c r="F220" s="26">
        <f>pol!F220*25.4</f>
        <v>141.3002</v>
      </c>
      <c r="G220" s="27">
        <f>pol!G220*25.4</f>
        <v>9.524999999999999</v>
      </c>
      <c r="H220" s="25">
        <f t="shared" si="79"/>
        <v>122.25019999999999</v>
      </c>
      <c r="I220" s="27">
        <f t="shared" si="80"/>
        <v>39.43197602336726</v>
      </c>
      <c r="J220" s="28">
        <f t="shared" si="81"/>
        <v>117.37863045361681</v>
      </c>
      <c r="K220" s="28">
        <f t="shared" si="82"/>
        <v>30.9541011783433</v>
      </c>
      <c r="L220" s="28">
        <f t="shared" si="77"/>
        <v>11.737863045361681</v>
      </c>
      <c r="M220" s="28">
        <f t="shared" si="78"/>
        <v>42.691964223704986</v>
      </c>
      <c r="N220" s="29">
        <f t="shared" si="57"/>
        <v>860.3775702873593</v>
      </c>
      <c r="O220" s="29">
        <f t="shared" si="58"/>
        <v>121.78009235476799</v>
      </c>
      <c r="P220" s="29">
        <f t="shared" si="83"/>
        <v>4.671111880489482</v>
      </c>
    </row>
    <row r="221" spans="1:16" ht="11.25">
      <c r="A221" s="23"/>
      <c r="B221" s="15">
        <v>7</v>
      </c>
      <c r="C221" s="23">
        <f t="shared" si="84"/>
        <v>1407</v>
      </c>
      <c r="D221" s="24">
        <f>pol!D221</f>
        <v>5</v>
      </c>
      <c r="E221" s="25" t="str">
        <f>pol!E221</f>
        <v>80s</v>
      </c>
      <c r="F221" s="26">
        <f>pol!F221*25.4</f>
        <v>141.3002</v>
      </c>
      <c r="G221" s="27">
        <f>pol!G221*25.4</f>
        <v>9.524999999999999</v>
      </c>
      <c r="H221" s="25">
        <f t="shared" si="79"/>
        <v>122.25019999999999</v>
      </c>
      <c r="I221" s="27">
        <f t="shared" si="80"/>
        <v>39.43197602336726</v>
      </c>
      <c r="J221" s="28">
        <f t="shared" si="81"/>
        <v>117.37863045361681</v>
      </c>
      <c r="K221" s="28">
        <f t="shared" si="82"/>
        <v>30.9541011783433</v>
      </c>
      <c r="L221" s="28">
        <f t="shared" si="77"/>
        <v>11.737863045361681</v>
      </c>
      <c r="M221" s="28">
        <f t="shared" si="78"/>
        <v>42.691964223704986</v>
      </c>
      <c r="N221" s="29">
        <f t="shared" si="57"/>
        <v>860.3775702873593</v>
      </c>
      <c r="O221" s="29">
        <f t="shared" si="58"/>
        <v>121.78009235476799</v>
      </c>
      <c r="P221" s="29">
        <f t="shared" si="83"/>
        <v>4.671111880489482</v>
      </c>
    </row>
    <row r="222" spans="1:16" ht="11.25">
      <c r="A222" s="23"/>
      <c r="B222" s="15">
        <v>8</v>
      </c>
      <c r="C222" s="23">
        <f t="shared" si="84"/>
        <v>1408</v>
      </c>
      <c r="D222" s="24">
        <f>pol!D222</f>
        <v>5</v>
      </c>
      <c r="E222" s="25" t="str">
        <f>pol!E222</f>
        <v>XS</v>
      </c>
      <c r="F222" s="26">
        <f>pol!F222*25.4</f>
        <v>141.3002</v>
      </c>
      <c r="G222" s="27">
        <f>pol!G222*25.4</f>
        <v>9.524999999999999</v>
      </c>
      <c r="H222" s="25">
        <f t="shared" si="79"/>
        <v>122.25019999999999</v>
      </c>
      <c r="I222" s="27">
        <f t="shared" si="80"/>
        <v>39.43197602336726</v>
      </c>
      <c r="J222" s="28">
        <f t="shared" si="81"/>
        <v>117.37863045361681</v>
      </c>
      <c r="K222" s="28">
        <f t="shared" si="82"/>
        <v>30.9541011783433</v>
      </c>
      <c r="L222" s="28">
        <f t="shared" si="77"/>
        <v>11.737863045361681</v>
      </c>
      <c r="M222" s="28">
        <f t="shared" si="78"/>
        <v>42.691964223704986</v>
      </c>
      <c r="N222" s="29">
        <f t="shared" si="57"/>
        <v>860.3775702873593</v>
      </c>
      <c r="O222" s="29">
        <f t="shared" si="58"/>
        <v>121.78009235476799</v>
      </c>
      <c r="P222" s="29">
        <f t="shared" si="83"/>
        <v>4.671111880489482</v>
      </c>
    </row>
    <row r="223" spans="1:16" ht="11.25">
      <c r="A223" s="23"/>
      <c r="B223" s="15">
        <v>9</v>
      </c>
      <c r="C223" s="23">
        <f t="shared" si="84"/>
        <v>1409</v>
      </c>
      <c r="D223" s="24">
        <f>pol!D223</f>
        <v>5</v>
      </c>
      <c r="E223" s="25">
        <f>pol!E223</f>
        <v>120</v>
      </c>
      <c r="F223" s="26">
        <f>pol!F223*25.4</f>
        <v>141.3002</v>
      </c>
      <c r="G223" s="27">
        <f>pol!G223*25.4</f>
        <v>12.7</v>
      </c>
      <c r="H223" s="25">
        <f t="shared" si="79"/>
        <v>115.90019999999998</v>
      </c>
      <c r="I223" s="27">
        <f t="shared" si="80"/>
        <v>51.30919933341263</v>
      </c>
      <c r="J223" s="28">
        <f t="shared" si="81"/>
        <v>105.50140714357146</v>
      </c>
      <c r="K223" s="28">
        <f t="shared" si="82"/>
        <v>40.277721476728914</v>
      </c>
      <c r="L223" s="28">
        <f t="shared" si="77"/>
        <v>10.550140714357147</v>
      </c>
      <c r="M223" s="28">
        <f t="shared" si="78"/>
        <v>50.82786219108606</v>
      </c>
      <c r="N223" s="29">
        <f t="shared" si="57"/>
        <v>1071.0347328946953</v>
      </c>
      <c r="O223" s="29">
        <f t="shared" si="58"/>
        <v>151.59705830489912</v>
      </c>
      <c r="P223" s="29">
        <f t="shared" si="83"/>
        <v>4.568821160873993</v>
      </c>
    </row>
    <row r="224" spans="1:16" ht="11.25">
      <c r="A224" s="23"/>
      <c r="B224" s="15">
        <v>10</v>
      </c>
      <c r="C224" s="23">
        <f t="shared" si="84"/>
        <v>1410</v>
      </c>
      <c r="D224" s="24">
        <f>pol!D224</f>
        <v>5</v>
      </c>
      <c r="E224" s="25">
        <f>pol!E224</f>
        <v>160</v>
      </c>
      <c r="F224" s="26">
        <f>pol!F224*25.4</f>
        <v>141.3002</v>
      </c>
      <c r="G224" s="27">
        <f>pol!G224*25.4</f>
        <v>15.875</v>
      </c>
      <c r="H224" s="25">
        <f t="shared" si="79"/>
        <v>109.55019999999999</v>
      </c>
      <c r="I224" s="27">
        <f t="shared" si="80"/>
        <v>62.55303829458609</v>
      </c>
      <c r="J224" s="28">
        <f t="shared" si="81"/>
        <v>94.25756818239799</v>
      </c>
      <c r="K224" s="28">
        <f t="shared" si="82"/>
        <v>49.10413506125008</v>
      </c>
      <c r="L224" s="28">
        <f t="shared" si="77"/>
        <v>9.4257568182398</v>
      </c>
      <c r="M224" s="28">
        <f t="shared" si="78"/>
        <v>58.52989187948988</v>
      </c>
      <c r="N224" s="29">
        <f t="shared" si="57"/>
        <v>1249.7703295551762</v>
      </c>
      <c r="O224" s="29">
        <f t="shared" si="58"/>
        <v>176.89576229264733</v>
      </c>
      <c r="P224" s="29">
        <f t="shared" si="83"/>
        <v>4.469828914516749</v>
      </c>
    </row>
    <row r="225" spans="1:16" ht="11.25">
      <c r="A225" s="23"/>
      <c r="B225" s="15">
        <v>11</v>
      </c>
      <c r="C225" s="23">
        <f t="shared" si="84"/>
        <v>1411</v>
      </c>
      <c r="D225" s="24">
        <f>pol!D225</f>
        <v>5</v>
      </c>
      <c r="E225" s="25" t="str">
        <f>pol!E225</f>
        <v>XXS</v>
      </c>
      <c r="F225" s="26">
        <f>pol!F225*25.4</f>
        <v>141.3002</v>
      </c>
      <c r="G225" s="27">
        <f>pol!G225*25.4</f>
        <v>19.049999999999997</v>
      </c>
      <c r="H225" s="25">
        <f t="shared" si="79"/>
        <v>103.2002</v>
      </c>
      <c r="I225" s="27">
        <f t="shared" si="80"/>
        <v>73.16349290688768</v>
      </c>
      <c r="J225" s="28">
        <f t="shared" si="81"/>
        <v>83.6471135700964</v>
      </c>
      <c r="K225" s="28">
        <f t="shared" si="82"/>
        <v>57.43334193190683</v>
      </c>
      <c r="L225" s="28">
        <f t="shared" si="77"/>
        <v>8.36471135700964</v>
      </c>
      <c r="M225" s="28">
        <f t="shared" si="78"/>
        <v>65.79805328891646</v>
      </c>
      <c r="N225" s="29">
        <f t="shared" si="57"/>
        <v>1399.9847079926424</v>
      </c>
      <c r="O225" s="29">
        <f t="shared" si="58"/>
        <v>198.15749843137414</v>
      </c>
      <c r="P225" s="29">
        <f t="shared" si="83"/>
        <v>4.3743590816312725</v>
      </c>
    </row>
    <row r="226" spans="1:16" ht="11.25" customHeight="1" hidden="1">
      <c r="A226" s="23"/>
      <c r="B226" s="15">
        <v>12</v>
      </c>
      <c r="C226" s="23">
        <f t="shared" si="84"/>
        <v>1412</v>
      </c>
      <c r="D226" s="24"/>
      <c r="E226" s="25"/>
      <c r="F226" s="26"/>
      <c r="G226" s="27"/>
      <c r="H226" s="25"/>
      <c r="I226" s="27"/>
      <c r="J226" s="28"/>
      <c r="K226" s="28"/>
      <c r="L226" s="28"/>
      <c r="M226" s="28"/>
      <c r="N226" s="29"/>
      <c r="O226" s="29"/>
      <c r="P226" s="29"/>
    </row>
    <row r="227" spans="1:16" ht="11.25" customHeight="1" hidden="1">
      <c r="A227" s="23"/>
      <c r="B227" s="15">
        <v>13</v>
      </c>
      <c r="C227" s="23">
        <f t="shared" si="84"/>
        <v>1413</v>
      </c>
      <c r="D227" s="24"/>
      <c r="E227" s="25"/>
      <c r="F227" s="26"/>
      <c r="G227" s="27"/>
      <c r="H227" s="25"/>
      <c r="I227" s="27"/>
      <c r="J227" s="28"/>
      <c r="K227" s="28"/>
      <c r="L227" s="28"/>
      <c r="M227" s="28"/>
      <c r="N227" s="29"/>
      <c r="O227" s="29"/>
      <c r="P227" s="29"/>
    </row>
    <row r="228" spans="1:16" ht="11.25" customHeight="1" hidden="1">
      <c r="A228" s="23"/>
      <c r="B228" s="15">
        <v>14</v>
      </c>
      <c r="C228" s="23">
        <f t="shared" si="84"/>
        <v>1414</v>
      </c>
      <c r="D228" s="24"/>
      <c r="E228" s="25"/>
      <c r="F228" s="26"/>
      <c r="G228" s="27"/>
      <c r="H228" s="25"/>
      <c r="I228" s="27"/>
      <c r="J228" s="28"/>
      <c r="K228" s="28"/>
      <c r="L228" s="28"/>
      <c r="M228" s="28"/>
      <c r="N228" s="29"/>
      <c r="O228" s="29"/>
      <c r="P228" s="29"/>
    </row>
    <row r="229" spans="1:16" ht="11.25" customHeight="1" hidden="1">
      <c r="A229" s="23"/>
      <c r="B229" s="15">
        <v>15</v>
      </c>
      <c r="C229" s="23">
        <f t="shared" si="84"/>
        <v>1415</v>
      </c>
      <c r="D229" s="24"/>
      <c r="E229" s="25"/>
      <c r="F229" s="26"/>
      <c r="G229" s="27"/>
      <c r="H229" s="25"/>
      <c r="I229" s="27"/>
      <c r="J229" s="28"/>
      <c r="K229" s="28"/>
      <c r="L229" s="28"/>
      <c r="M229" s="28"/>
      <c r="N229" s="29"/>
      <c r="O229" s="29"/>
      <c r="P229" s="29"/>
    </row>
    <row r="230" spans="1:16" ht="11.25" customHeight="1" hidden="1">
      <c r="A230" s="23"/>
      <c r="B230" s="15">
        <v>16</v>
      </c>
      <c r="C230" s="23">
        <f t="shared" si="84"/>
        <v>1416</v>
      </c>
      <c r="D230" s="24"/>
      <c r="E230" s="25"/>
      <c r="F230" s="26"/>
      <c r="G230" s="27"/>
      <c r="H230" s="25"/>
      <c r="I230" s="27"/>
      <c r="J230" s="28"/>
      <c r="K230" s="28"/>
      <c r="L230" s="28"/>
      <c r="M230" s="28"/>
      <c r="N230" s="29"/>
      <c r="O230" s="29"/>
      <c r="P230" s="29"/>
    </row>
    <row r="231" spans="1:16" ht="11.25">
      <c r="A231" s="23">
        <v>15</v>
      </c>
      <c r="B231" s="15">
        <v>1</v>
      </c>
      <c r="C231" s="23">
        <f>$A$231*100+B231</f>
        <v>1501</v>
      </c>
      <c r="D231" s="24">
        <f>pol!D231</f>
        <v>6</v>
      </c>
      <c r="E231" s="25" t="str">
        <f>pol!E231</f>
        <v>5s</v>
      </c>
      <c r="F231" s="26">
        <f>pol!F231*25.4</f>
        <v>168.27499999999998</v>
      </c>
      <c r="G231" s="27">
        <f>pol!G231*25.4</f>
        <v>2.7685999999999997</v>
      </c>
      <c r="H231" s="25">
        <f t="shared" si="79"/>
        <v>162.73779999999996</v>
      </c>
      <c r="I231" s="27">
        <f t="shared" si="80"/>
        <v>14.395437871364958</v>
      </c>
      <c r="J231" s="28">
        <f t="shared" si="81"/>
        <v>208.0016416262711</v>
      </c>
      <c r="K231" s="28">
        <f t="shared" si="82"/>
        <v>11.300418729021493</v>
      </c>
      <c r="L231" s="28">
        <f t="shared" si="77"/>
        <v>20.800164162627112</v>
      </c>
      <c r="M231" s="28">
        <f t="shared" si="78"/>
        <v>32.10058289164861</v>
      </c>
      <c r="N231" s="29">
        <f t="shared" si="57"/>
        <v>493.04435146727576</v>
      </c>
      <c r="O231" s="29">
        <f t="shared" si="58"/>
        <v>58.59983378009518</v>
      </c>
      <c r="P231" s="29">
        <f t="shared" si="83"/>
        <v>5.852353542264005</v>
      </c>
    </row>
    <row r="232" spans="1:16" ht="11.25">
      <c r="A232" s="23"/>
      <c r="B232" s="15">
        <v>2</v>
      </c>
      <c r="C232" s="23">
        <f aca="true" t="shared" si="85" ref="C232:C246">$A$231*100+B232</f>
        <v>1502</v>
      </c>
      <c r="D232" s="24">
        <f>pol!D232</f>
        <v>6</v>
      </c>
      <c r="E232" s="25" t="str">
        <f>pol!E232</f>
        <v>10s</v>
      </c>
      <c r="F232" s="26">
        <f>pol!F232*25.4</f>
        <v>168.27499999999998</v>
      </c>
      <c r="G232" s="27">
        <f>pol!G232*25.4</f>
        <v>3.4036</v>
      </c>
      <c r="H232" s="25">
        <f t="shared" si="79"/>
        <v>161.46779999999998</v>
      </c>
      <c r="I232" s="27">
        <f t="shared" si="80"/>
        <v>17.62924500296513</v>
      </c>
      <c r="J232" s="28">
        <f t="shared" si="81"/>
        <v>204.76783449467092</v>
      </c>
      <c r="K232" s="28">
        <f t="shared" si="82"/>
        <v>13.838957327327629</v>
      </c>
      <c r="L232" s="28">
        <f t="shared" si="77"/>
        <v>20.476783449467092</v>
      </c>
      <c r="M232" s="28">
        <f t="shared" si="78"/>
        <v>34.31574077679472</v>
      </c>
      <c r="N232" s="29">
        <f t="shared" si="57"/>
        <v>599.2657034033314</v>
      </c>
      <c r="O232" s="29">
        <f t="shared" si="58"/>
        <v>71.22456733363025</v>
      </c>
      <c r="P232" s="29">
        <f t="shared" si="83"/>
        <v>5.830326216314998</v>
      </c>
    </row>
    <row r="233" spans="1:16" ht="11.25">
      <c r="A233" s="23"/>
      <c r="B233" s="15">
        <v>3</v>
      </c>
      <c r="C233" s="23">
        <f t="shared" si="85"/>
        <v>1503</v>
      </c>
      <c r="D233" s="24">
        <f>pol!D233</f>
        <v>6</v>
      </c>
      <c r="E233" s="25">
        <f>pol!E233</f>
        <v>40</v>
      </c>
      <c r="F233" s="26">
        <f>pol!F233*25.4</f>
        <v>168.27499999999998</v>
      </c>
      <c r="G233" s="27">
        <f>pol!G233*25.4</f>
        <v>7.112</v>
      </c>
      <c r="H233" s="25">
        <f t="shared" si="79"/>
        <v>154.051</v>
      </c>
      <c r="I233" s="27">
        <f t="shared" si="80"/>
        <v>36.00866029458455</v>
      </c>
      <c r="J233" s="28">
        <f t="shared" si="81"/>
        <v>186.38841920305148</v>
      </c>
      <c r="K233" s="28">
        <f t="shared" si="82"/>
        <v>28.266798331248875</v>
      </c>
      <c r="L233" s="28">
        <f t="shared" si="77"/>
        <v>18.63884192030515</v>
      </c>
      <c r="M233" s="28">
        <f t="shared" si="78"/>
        <v>46.905640251554026</v>
      </c>
      <c r="N233" s="29">
        <f t="shared" si="57"/>
        <v>1171.3659104758171</v>
      </c>
      <c r="O233" s="29">
        <f t="shared" si="58"/>
        <v>139.22043208745416</v>
      </c>
      <c r="P233" s="29">
        <f t="shared" si="83"/>
        <v>5.703517896110258</v>
      </c>
    </row>
    <row r="234" spans="1:16" ht="11.25">
      <c r="A234" s="23"/>
      <c r="B234" s="15">
        <v>4</v>
      </c>
      <c r="C234" s="23">
        <f t="shared" si="85"/>
        <v>1504</v>
      </c>
      <c r="D234" s="24">
        <f>pol!D234</f>
        <v>6</v>
      </c>
      <c r="E234" s="25" t="str">
        <f>pol!E234</f>
        <v>40s</v>
      </c>
      <c r="F234" s="26">
        <f>pol!F234*25.4</f>
        <v>168.27499999999998</v>
      </c>
      <c r="G234" s="27">
        <f>pol!G234*25.4</f>
        <v>7.112</v>
      </c>
      <c r="H234" s="25">
        <f t="shared" si="79"/>
        <v>154.051</v>
      </c>
      <c r="I234" s="27">
        <f t="shared" si="80"/>
        <v>36.00866029458455</v>
      </c>
      <c r="J234" s="28">
        <f t="shared" si="81"/>
        <v>186.38841920305148</v>
      </c>
      <c r="K234" s="28">
        <f t="shared" si="82"/>
        <v>28.266798331248875</v>
      </c>
      <c r="L234" s="28">
        <f t="shared" si="77"/>
        <v>18.63884192030515</v>
      </c>
      <c r="M234" s="28">
        <f t="shared" si="78"/>
        <v>46.905640251554026</v>
      </c>
      <c r="N234" s="29">
        <f t="shared" si="57"/>
        <v>1171.3659104758171</v>
      </c>
      <c r="O234" s="29">
        <f t="shared" si="58"/>
        <v>139.22043208745416</v>
      </c>
      <c r="P234" s="29">
        <f t="shared" si="83"/>
        <v>5.703517896110258</v>
      </c>
    </row>
    <row r="235" spans="1:16" ht="11.25">
      <c r="A235" s="23"/>
      <c r="B235" s="15">
        <v>5</v>
      </c>
      <c r="C235" s="23">
        <f t="shared" si="85"/>
        <v>1505</v>
      </c>
      <c r="D235" s="24">
        <f>pol!D235</f>
        <v>6</v>
      </c>
      <c r="E235" s="25" t="str">
        <f>pol!E235</f>
        <v>STD</v>
      </c>
      <c r="F235" s="26">
        <f>pol!F235*25.4</f>
        <v>168.27499999999998</v>
      </c>
      <c r="G235" s="27">
        <f>pol!G235*25.4</f>
        <v>7.112</v>
      </c>
      <c r="H235" s="25">
        <f t="shared" si="79"/>
        <v>154.051</v>
      </c>
      <c r="I235" s="27">
        <f t="shared" si="80"/>
        <v>36.00866029458455</v>
      </c>
      <c r="J235" s="28">
        <f t="shared" si="81"/>
        <v>186.38841920305148</v>
      </c>
      <c r="K235" s="28">
        <f t="shared" si="82"/>
        <v>28.266798331248875</v>
      </c>
      <c r="L235" s="28">
        <f t="shared" si="77"/>
        <v>18.63884192030515</v>
      </c>
      <c r="M235" s="28">
        <f t="shared" si="78"/>
        <v>46.905640251554026</v>
      </c>
      <c r="N235" s="29">
        <f aca="true" t="shared" si="86" ref="N235:N304">PI()*(($F235/10)^4-($H235/10)^4)/64</f>
        <v>1171.3659104758171</v>
      </c>
      <c r="O235" s="29">
        <f aca="true" t="shared" si="87" ref="O235:O304">PI()*(($F235/10)^4-($H235/10)^4)/(32*($F235/10))</f>
        <v>139.22043208745416</v>
      </c>
      <c r="P235" s="29">
        <f t="shared" si="83"/>
        <v>5.703517896110258</v>
      </c>
    </row>
    <row r="236" spans="1:16" ht="11.25">
      <c r="A236" s="23"/>
      <c r="B236" s="15">
        <v>6</v>
      </c>
      <c r="C236" s="23">
        <f t="shared" si="85"/>
        <v>1506</v>
      </c>
      <c r="D236" s="24">
        <f>pol!D236</f>
        <v>6</v>
      </c>
      <c r="E236" s="25">
        <f>pol!E236</f>
        <v>80</v>
      </c>
      <c r="F236" s="26">
        <f>pol!F236*25.4</f>
        <v>168.27499999999998</v>
      </c>
      <c r="G236" s="27">
        <f>pol!G236*25.4</f>
        <v>10.9728</v>
      </c>
      <c r="H236" s="25">
        <f t="shared" si="79"/>
        <v>146.32939999999996</v>
      </c>
      <c r="I236" s="27">
        <f t="shared" si="80"/>
        <v>54.22532114391792</v>
      </c>
      <c r="J236" s="28">
        <f t="shared" si="81"/>
        <v>168.17175835371813</v>
      </c>
      <c r="K236" s="28">
        <f t="shared" si="82"/>
        <v>42.56687709797556</v>
      </c>
      <c r="L236" s="28">
        <f t="shared" si="77"/>
        <v>16.817175835371813</v>
      </c>
      <c r="M236" s="28">
        <f t="shared" si="78"/>
        <v>59.38405293334738</v>
      </c>
      <c r="N236" s="29">
        <f t="shared" si="86"/>
        <v>1685.349040803895</v>
      </c>
      <c r="O236" s="29">
        <f t="shared" si="87"/>
        <v>200.30890397312675</v>
      </c>
      <c r="P236" s="29">
        <f t="shared" si="83"/>
        <v>5.574987047594818</v>
      </c>
    </row>
    <row r="237" spans="1:16" ht="11.25">
      <c r="A237" s="23"/>
      <c r="B237" s="15">
        <v>7</v>
      </c>
      <c r="C237" s="23">
        <f t="shared" si="85"/>
        <v>1507</v>
      </c>
      <c r="D237" s="24">
        <f>pol!D237</f>
        <v>6</v>
      </c>
      <c r="E237" s="25" t="str">
        <f>pol!E237</f>
        <v>80s</v>
      </c>
      <c r="F237" s="26">
        <f>pol!F237*25.4</f>
        <v>168.27499999999998</v>
      </c>
      <c r="G237" s="27">
        <f>pol!G237*25.4</f>
        <v>10.9728</v>
      </c>
      <c r="H237" s="25">
        <f t="shared" si="79"/>
        <v>146.32939999999996</v>
      </c>
      <c r="I237" s="27">
        <f t="shared" si="80"/>
        <v>54.22532114391792</v>
      </c>
      <c r="J237" s="28">
        <f t="shared" si="81"/>
        <v>168.17175835371813</v>
      </c>
      <c r="K237" s="28">
        <f t="shared" si="82"/>
        <v>42.56687709797556</v>
      </c>
      <c r="L237" s="28">
        <f t="shared" si="77"/>
        <v>16.817175835371813</v>
      </c>
      <c r="M237" s="28">
        <f t="shared" si="78"/>
        <v>59.38405293334738</v>
      </c>
      <c r="N237" s="29">
        <f t="shared" si="86"/>
        <v>1685.349040803895</v>
      </c>
      <c r="O237" s="29">
        <f t="shared" si="87"/>
        <v>200.30890397312675</v>
      </c>
      <c r="P237" s="29">
        <f t="shared" si="83"/>
        <v>5.574987047594818</v>
      </c>
    </row>
    <row r="238" spans="1:16" ht="11.25">
      <c r="A238" s="23"/>
      <c r="B238" s="15">
        <v>8</v>
      </c>
      <c r="C238" s="23">
        <f t="shared" si="85"/>
        <v>1508</v>
      </c>
      <c r="D238" s="24">
        <f>pol!D238</f>
        <v>6</v>
      </c>
      <c r="E238" s="25" t="str">
        <f>pol!E238</f>
        <v>XS</v>
      </c>
      <c r="F238" s="26">
        <f>pol!F238*25.4</f>
        <v>168.27499999999998</v>
      </c>
      <c r="G238" s="27">
        <f>pol!G238*25.4</f>
        <v>10.9728</v>
      </c>
      <c r="H238" s="25">
        <f aca="true" t="shared" si="88" ref="H238:H281">F238-2*G238</f>
        <v>146.32939999999996</v>
      </c>
      <c r="I238" s="27">
        <f aca="true" t="shared" si="89" ref="I238:I281">PI()*(F238^2-H238^2)/400</f>
        <v>54.22532114391792</v>
      </c>
      <c r="J238" s="28">
        <f aca="true" t="shared" si="90" ref="J238:J281">PI()*H238^2/400</f>
        <v>168.17175835371813</v>
      </c>
      <c r="K238" s="28">
        <f aca="true" t="shared" si="91" ref="K238:K281">0.785*I238</f>
        <v>42.56687709797556</v>
      </c>
      <c r="L238" s="28">
        <f t="shared" si="77"/>
        <v>16.817175835371813</v>
      </c>
      <c r="M238" s="28">
        <f t="shared" si="78"/>
        <v>59.38405293334738</v>
      </c>
      <c r="N238" s="29">
        <f t="shared" si="86"/>
        <v>1685.349040803895</v>
      </c>
      <c r="O238" s="29">
        <f t="shared" si="87"/>
        <v>200.30890397312675</v>
      </c>
      <c r="P238" s="29">
        <f aca="true" t="shared" si="92" ref="P238:P281">SQRT(N238/I238)</f>
        <v>5.574987047594818</v>
      </c>
    </row>
    <row r="239" spans="1:16" ht="11.25">
      <c r="A239" s="23"/>
      <c r="B239" s="15">
        <v>9</v>
      </c>
      <c r="C239" s="23">
        <f t="shared" si="85"/>
        <v>1509</v>
      </c>
      <c r="D239" s="24">
        <f>pol!D239</f>
        <v>6</v>
      </c>
      <c r="E239" s="25">
        <f>pol!E239</f>
        <v>120</v>
      </c>
      <c r="F239" s="26">
        <f>pol!F239*25.4</f>
        <v>168.27499999999998</v>
      </c>
      <c r="G239" s="27">
        <f>pol!G239*25.4</f>
        <v>14.2748</v>
      </c>
      <c r="H239" s="25">
        <f t="shared" si="88"/>
        <v>139.72539999999998</v>
      </c>
      <c r="I239" s="27">
        <f t="shared" si="89"/>
        <v>69.0623241808675</v>
      </c>
      <c r="J239" s="28">
        <f t="shared" si="90"/>
        <v>153.33475531676856</v>
      </c>
      <c r="K239" s="28">
        <f t="shared" si="91"/>
        <v>54.213924481980996</v>
      </c>
      <c r="L239" s="28">
        <f t="shared" si="77"/>
        <v>15.333475531676857</v>
      </c>
      <c r="M239" s="28">
        <f t="shared" si="78"/>
        <v>69.54740001365785</v>
      </c>
      <c r="N239" s="29">
        <f t="shared" si="86"/>
        <v>2064.948948057732</v>
      </c>
      <c r="O239" s="29">
        <f t="shared" si="87"/>
        <v>245.42551752283256</v>
      </c>
      <c r="P239" s="29">
        <f t="shared" si="92"/>
        <v>5.468069988016795</v>
      </c>
    </row>
    <row r="240" spans="1:16" ht="11.25">
      <c r="A240" s="23"/>
      <c r="B240" s="15">
        <v>10</v>
      </c>
      <c r="C240" s="23">
        <f t="shared" si="85"/>
        <v>1510</v>
      </c>
      <c r="D240" s="24">
        <f>pol!D240</f>
        <v>6</v>
      </c>
      <c r="E240" s="25">
        <f>pol!E240</f>
        <v>160</v>
      </c>
      <c r="F240" s="26">
        <f>pol!F240*25.4</f>
        <v>168.27499999999998</v>
      </c>
      <c r="G240" s="27">
        <f>pol!G240*25.4</f>
        <v>18.237199999999998</v>
      </c>
      <c r="H240" s="25">
        <f t="shared" si="88"/>
        <v>131.80059999999997</v>
      </c>
      <c r="I240" s="27">
        <f t="shared" si="89"/>
        <v>85.96243738971054</v>
      </c>
      <c r="J240" s="28">
        <f t="shared" si="90"/>
        <v>136.4346421079255</v>
      </c>
      <c r="K240" s="28">
        <f t="shared" si="91"/>
        <v>67.48051335092278</v>
      </c>
      <c r="L240" s="28">
        <f t="shared" si="77"/>
        <v>13.643464210792551</v>
      </c>
      <c r="M240" s="28">
        <f t="shared" si="78"/>
        <v>81.12397756171532</v>
      </c>
      <c r="N240" s="29">
        <f t="shared" si="86"/>
        <v>2454.650618589378</v>
      </c>
      <c r="O240" s="29">
        <f t="shared" si="87"/>
        <v>291.74275662925317</v>
      </c>
      <c r="P240" s="29">
        <f t="shared" si="92"/>
        <v>5.3436804840718155</v>
      </c>
    </row>
    <row r="241" spans="1:16" ht="11.25">
      <c r="A241" s="23"/>
      <c r="B241" s="15">
        <v>11</v>
      </c>
      <c r="C241" s="23">
        <f t="shared" si="85"/>
        <v>1511</v>
      </c>
      <c r="D241" s="24">
        <f>pol!D241</f>
        <v>6</v>
      </c>
      <c r="E241" s="25" t="str">
        <f>pol!E241</f>
        <v>XXS</v>
      </c>
      <c r="F241" s="26">
        <f>pol!F241*25.4</f>
        <v>168.27499999999998</v>
      </c>
      <c r="G241" s="27">
        <f>pol!G241*25.4</f>
        <v>21.9456</v>
      </c>
      <c r="H241" s="25">
        <f t="shared" si="88"/>
        <v>124.38379999999998</v>
      </c>
      <c r="I241" s="27">
        <f t="shared" si="89"/>
        <v>100.88554016150843</v>
      </c>
      <c r="J241" s="28">
        <f t="shared" si="90"/>
        <v>121.51153933612761</v>
      </c>
      <c r="K241" s="28">
        <f t="shared" si="91"/>
        <v>79.19514902678412</v>
      </c>
      <c r="L241" s="28">
        <f t="shared" si="77"/>
        <v>12.151153933612761</v>
      </c>
      <c r="M241" s="28">
        <f t="shared" si="78"/>
        <v>91.34630296039688</v>
      </c>
      <c r="N241" s="29">
        <f t="shared" si="86"/>
        <v>2760.9727455910997</v>
      </c>
      <c r="O241" s="29">
        <f t="shared" si="87"/>
        <v>328.1500811874729</v>
      </c>
      <c r="P241" s="29">
        <f t="shared" si="92"/>
        <v>5.231383978418139</v>
      </c>
    </row>
    <row r="242" spans="1:16" ht="11.25" customHeight="1" hidden="1">
      <c r="A242" s="23"/>
      <c r="B242" s="15">
        <v>12</v>
      </c>
      <c r="C242" s="23">
        <f t="shared" si="85"/>
        <v>1512</v>
      </c>
      <c r="D242" s="24"/>
      <c r="E242" s="25"/>
      <c r="F242" s="26"/>
      <c r="G242" s="27"/>
      <c r="H242" s="25"/>
      <c r="I242" s="27"/>
      <c r="J242" s="28"/>
      <c r="K242" s="28"/>
      <c r="L242" s="28"/>
      <c r="M242" s="28"/>
      <c r="N242" s="29"/>
      <c r="O242" s="29"/>
      <c r="P242" s="29"/>
    </row>
    <row r="243" spans="1:16" ht="11.25" customHeight="1" hidden="1">
      <c r="A243" s="23"/>
      <c r="B243" s="15">
        <v>13</v>
      </c>
      <c r="C243" s="23">
        <f t="shared" si="85"/>
        <v>1513</v>
      </c>
      <c r="D243" s="24"/>
      <c r="E243" s="25"/>
      <c r="F243" s="26"/>
      <c r="G243" s="27"/>
      <c r="H243" s="25"/>
      <c r="I243" s="27"/>
      <c r="J243" s="28"/>
      <c r="K243" s="28"/>
      <c r="L243" s="28"/>
      <c r="M243" s="28"/>
      <c r="N243" s="29"/>
      <c r="O243" s="29"/>
      <c r="P243" s="29"/>
    </row>
    <row r="244" spans="1:16" ht="11.25" customHeight="1" hidden="1">
      <c r="A244" s="23"/>
      <c r="B244" s="15">
        <v>14</v>
      </c>
      <c r="C244" s="23">
        <f t="shared" si="85"/>
        <v>1514</v>
      </c>
      <c r="D244" s="24"/>
      <c r="E244" s="25"/>
      <c r="F244" s="26"/>
      <c r="G244" s="27"/>
      <c r="H244" s="25"/>
      <c r="I244" s="27"/>
      <c r="J244" s="28"/>
      <c r="K244" s="28"/>
      <c r="L244" s="28"/>
      <c r="M244" s="28"/>
      <c r="N244" s="29"/>
      <c r="O244" s="29"/>
      <c r="P244" s="29"/>
    </row>
    <row r="245" spans="1:16" ht="11.25" customHeight="1" hidden="1">
      <c r="A245" s="23"/>
      <c r="B245" s="15">
        <v>15</v>
      </c>
      <c r="C245" s="23">
        <f t="shared" si="85"/>
        <v>1515</v>
      </c>
      <c r="D245" s="24"/>
      <c r="E245" s="25"/>
      <c r="F245" s="26"/>
      <c r="G245" s="27"/>
      <c r="H245" s="25"/>
      <c r="I245" s="27"/>
      <c r="J245" s="28"/>
      <c r="K245" s="28"/>
      <c r="L245" s="28"/>
      <c r="M245" s="28"/>
      <c r="N245" s="29"/>
      <c r="O245" s="29"/>
      <c r="P245" s="29"/>
    </row>
    <row r="246" spans="1:16" ht="11.25" customHeight="1" hidden="1">
      <c r="A246" s="23"/>
      <c r="B246" s="15">
        <v>16</v>
      </c>
      <c r="C246" s="23">
        <f t="shared" si="85"/>
        <v>1516</v>
      </c>
      <c r="D246" s="24"/>
      <c r="E246" s="25"/>
      <c r="F246" s="26"/>
      <c r="G246" s="27"/>
      <c r="H246" s="25"/>
      <c r="I246" s="27"/>
      <c r="J246" s="28"/>
      <c r="K246" s="28"/>
      <c r="L246" s="28"/>
      <c r="M246" s="28"/>
      <c r="N246" s="29"/>
      <c r="O246" s="29"/>
      <c r="P246" s="29"/>
    </row>
    <row r="247" spans="1:16" ht="11.25">
      <c r="A247" s="23">
        <v>16</v>
      </c>
      <c r="B247" s="15">
        <v>1</v>
      </c>
      <c r="C247" s="23">
        <f>$A$247*100+B247</f>
        <v>1601</v>
      </c>
      <c r="D247" s="24">
        <f>pol!D247</f>
        <v>8</v>
      </c>
      <c r="E247" s="25" t="str">
        <f>pol!E247</f>
        <v>5s</v>
      </c>
      <c r="F247" s="26">
        <f>pol!F247*25.4</f>
        <v>219.075</v>
      </c>
      <c r="G247" s="27">
        <f>pol!G247*25.4</f>
        <v>2.7685999999999997</v>
      </c>
      <c r="H247" s="25">
        <f t="shared" si="88"/>
        <v>213.53779999999998</v>
      </c>
      <c r="I247" s="27">
        <f t="shared" si="89"/>
        <v>18.813927089095163</v>
      </c>
      <c r="J247" s="28">
        <f t="shared" si="90"/>
        <v>358.12893353327775</v>
      </c>
      <c r="K247" s="28">
        <f t="shared" si="91"/>
        <v>14.768932764939704</v>
      </c>
      <c r="L247" s="28">
        <f t="shared" si="77"/>
        <v>35.81289335332777</v>
      </c>
      <c r="M247" s="28">
        <f t="shared" si="78"/>
        <v>50.58182611826748</v>
      </c>
      <c r="N247" s="29">
        <f t="shared" si="86"/>
        <v>1100.5235771649282</v>
      </c>
      <c r="O247" s="29">
        <f t="shared" si="87"/>
        <v>100.47002872668521</v>
      </c>
      <c r="P247" s="29">
        <f t="shared" si="92"/>
        <v>7.648212522128948</v>
      </c>
    </row>
    <row r="248" spans="1:16" ht="11.25">
      <c r="A248" s="23"/>
      <c r="B248" s="15">
        <v>2</v>
      </c>
      <c r="C248" s="23">
        <f aca="true" t="shared" si="93" ref="C248:C262">$A$247*100+B248</f>
        <v>1602</v>
      </c>
      <c r="D248" s="24">
        <f>pol!D248</f>
        <v>8</v>
      </c>
      <c r="E248" s="25" t="str">
        <f>pol!E248</f>
        <v>10s</v>
      </c>
      <c r="F248" s="26">
        <f>pol!F248*25.4</f>
        <v>219.075</v>
      </c>
      <c r="G248" s="27">
        <f>pol!G248*25.4</f>
        <v>3.7591999999999994</v>
      </c>
      <c r="H248" s="25">
        <f t="shared" si="88"/>
        <v>211.5566</v>
      </c>
      <c r="I248" s="27">
        <f t="shared" si="89"/>
        <v>25.428527057832124</v>
      </c>
      <c r="J248" s="28">
        <f t="shared" si="90"/>
        <v>351.5143335645408</v>
      </c>
      <c r="K248" s="28">
        <f t="shared" si="91"/>
        <v>19.96139374039822</v>
      </c>
      <c r="L248" s="28">
        <f t="shared" si="77"/>
        <v>35.15143335645408</v>
      </c>
      <c r="M248" s="28">
        <f t="shared" si="78"/>
        <v>55.1128270968523</v>
      </c>
      <c r="N248" s="29">
        <f t="shared" si="86"/>
        <v>1474.060732514773</v>
      </c>
      <c r="O248" s="29">
        <f t="shared" si="87"/>
        <v>134.57133242175266</v>
      </c>
      <c r="P248" s="29">
        <f t="shared" si="92"/>
        <v>7.613723244435011</v>
      </c>
    </row>
    <row r="249" spans="1:16" ht="11.25">
      <c r="A249" s="23"/>
      <c r="B249" s="15">
        <v>3</v>
      </c>
      <c r="C249" s="23">
        <f t="shared" si="93"/>
        <v>1603</v>
      </c>
      <c r="D249" s="24">
        <f>pol!D249</f>
        <v>8</v>
      </c>
      <c r="E249" s="25">
        <f>pol!E249</f>
        <v>20</v>
      </c>
      <c r="F249" s="26">
        <f>pol!F249*25.4</f>
        <v>219.075</v>
      </c>
      <c r="G249" s="27">
        <f>pol!G249*25.4</f>
        <v>6.35</v>
      </c>
      <c r="H249" s="25">
        <f t="shared" si="88"/>
        <v>206.375</v>
      </c>
      <c r="I249" s="27">
        <f t="shared" si="89"/>
        <v>42.43675137441541</v>
      </c>
      <c r="J249" s="28">
        <f t="shared" si="90"/>
        <v>334.5061092479575</v>
      </c>
      <c r="K249" s="28">
        <f t="shared" si="91"/>
        <v>33.3128498289161</v>
      </c>
      <c r="L249" s="28">
        <f t="shared" si="77"/>
        <v>33.450610924795754</v>
      </c>
      <c r="M249" s="28">
        <f t="shared" si="78"/>
        <v>66.76346075371185</v>
      </c>
      <c r="N249" s="29">
        <f t="shared" si="86"/>
        <v>2402.5698410861987</v>
      </c>
      <c r="O249" s="29">
        <f t="shared" si="87"/>
        <v>219.33765524009576</v>
      </c>
      <c r="P249" s="29">
        <f t="shared" si="92"/>
        <v>7.524314597107836</v>
      </c>
    </row>
    <row r="250" spans="1:16" ht="11.25">
      <c r="A250" s="23"/>
      <c r="B250" s="15">
        <v>4</v>
      </c>
      <c r="C250" s="23">
        <f t="shared" si="93"/>
        <v>1604</v>
      </c>
      <c r="D250" s="24">
        <f>pol!D250</f>
        <v>8</v>
      </c>
      <c r="E250" s="25">
        <f>pol!E250</f>
        <v>30</v>
      </c>
      <c r="F250" s="26">
        <f>pol!F250*25.4</f>
        <v>219.075</v>
      </c>
      <c r="G250" s="27">
        <f>pol!G250*25.4</f>
        <v>7.0358</v>
      </c>
      <c r="H250" s="25">
        <f t="shared" si="88"/>
        <v>205.0034</v>
      </c>
      <c r="I250" s="27">
        <f t="shared" si="89"/>
        <v>46.868333913405486</v>
      </c>
      <c r="J250" s="28">
        <f t="shared" si="90"/>
        <v>330.07452670896737</v>
      </c>
      <c r="K250" s="28">
        <f t="shared" si="91"/>
        <v>36.791642122023305</v>
      </c>
      <c r="L250" s="28">
        <f t="shared" si="77"/>
        <v>33.00745267089674</v>
      </c>
      <c r="M250" s="28">
        <f t="shared" si="78"/>
        <v>69.79909479292004</v>
      </c>
      <c r="N250" s="29">
        <f t="shared" si="86"/>
        <v>2636.9369493340046</v>
      </c>
      <c r="O250" s="29">
        <f t="shared" si="87"/>
        <v>240.73371670286474</v>
      </c>
      <c r="P250" s="29">
        <f t="shared" si="92"/>
        <v>7.500843687402766</v>
      </c>
    </row>
    <row r="251" spans="1:16" ht="11.25">
      <c r="A251" s="23"/>
      <c r="B251" s="15">
        <v>5</v>
      </c>
      <c r="C251" s="23">
        <f t="shared" si="93"/>
        <v>1605</v>
      </c>
      <c r="D251" s="24">
        <f>pol!D251</f>
        <v>8</v>
      </c>
      <c r="E251" s="25">
        <f>pol!E251</f>
        <v>40</v>
      </c>
      <c r="F251" s="26">
        <f>pol!F251*25.4</f>
        <v>219.075</v>
      </c>
      <c r="G251" s="27">
        <f>pol!G251*25.4</f>
        <v>8.178799999999999</v>
      </c>
      <c r="H251" s="25">
        <f t="shared" si="88"/>
        <v>202.7174</v>
      </c>
      <c r="I251" s="27">
        <f t="shared" si="89"/>
        <v>54.188635522431184</v>
      </c>
      <c r="J251" s="28">
        <f t="shared" si="90"/>
        <v>322.7542250999417</v>
      </c>
      <c r="K251" s="28">
        <f t="shared" si="91"/>
        <v>42.53807888510848</v>
      </c>
      <c r="L251" s="28">
        <f t="shared" si="77"/>
        <v>32.27542250999417</v>
      </c>
      <c r="M251" s="28">
        <f t="shared" si="78"/>
        <v>74.81350139510266</v>
      </c>
      <c r="N251" s="29">
        <f t="shared" si="86"/>
        <v>3017.229995667075</v>
      </c>
      <c r="O251" s="29">
        <f t="shared" si="87"/>
        <v>275.45178552249916</v>
      </c>
      <c r="P251" s="29">
        <f t="shared" si="92"/>
        <v>7.461911613644991</v>
      </c>
    </row>
    <row r="252" spans="1:16" ht="11.25">
      <c r="A252" s="23"/>
      <c r="B252" s="15">
        <v>6</v>
      </c>
      <c r="C252" s="23">
        <f t="shared" si="93"/>
        <v>1606</v>
      </c>
      <c r="D252" s="24">
        <f>pol!D252</f>
        <v>8</v>
      </c>
      <c r="E252" s="25" t="str">
        <f>pol!E252</f>
        <v>40s</v>
      </c>
      <c r="F252" s="26">
        <f>pol!F252*25.4</f>
        <v>219.075</v>
      </c>
      <c r="G252" s="27">
        <f>pol!G252*25.4</f>
        <v>8.178799999999999</v>
      </c>
      <c r="H252" s="25">
        <f t="shared" si="88"/>
        <v>202.7174</v>
      </c>
      <c r="I252" s="27">
        <f t="shared" si="89"/>
        <v>54.188635522431184</v>
      </c>
      <c r="J252" s="28">
        <f t="shared" si="90"/>
        <v>322.7542250999417</v>
      </c>
      <c r="K252" s="28">
        <f t="shared" si="91"/>
        <v>42.53807888510848</v>
      </c>
      <c r="L252" s="28">
        <f t="shared" si="77"/>
        <v>32.27542250999417</v>
      </c>
      <c r="M252" s="28">
        <f t="shared" si="78"/>
        <v>74.81350139510266</v>
      </c>
      <c r="N252" s="29">
        <f t="shared" si="86"/>
        <v>3017.229995667075</v>
      </c>
      <c r="O252" s="29">
        <f t="shared" si="87"/>
        <v>275.45178552249916</v>
      </c>
      <c r="P252" s="29">
        <f t="shared" si="92"/>
        <v>7.461911613644991</v>
      </c>
    </row>
    <row r="253" spans="1:16" ht="11.25">
      <c r="A253" s="23"/>
      <c r="B253" s="15">
        <v>7</v>
      </c>
      <c r="C253" s="23">
        <f t="shared" si="93"/>
        <v>1607</v>
      </c>
      <c r="D253" s="24">
        <f>pol!D253</f>
        <v>8</v>
      </c>
      <c r="E253" s="25" t="str">
        <f>pol!E253</f>
        <v>STD</v>
      </c>
      <c r="F253" s="26">
        <f>pol!F253*25.4</f>
        <v>219.075</v>
      </c>
      <c r="G253" s="27">
        <f>pol!G253*25.4</f>
        <v>8.178799999999999</v>
      </c>
      <c r="H253" s="25">
        <f t="shared" si="88"/>
        <v>202.7174</v>
      </c>
      <c r="I253" s="27">
        <f t="shared" si="89"/>
        <v>54.188635522431184</v>
      </c>
      <c r="J253" s="28">
        <f t="shared" si="90"/>
        <v>322.7542250999417</v>
      </c>
      <c r="K253" s="28">
        <f t="shared" si="91"/>
        <v>42.53807888510848</v>
      </c>
      <c r="L253" s="28">
        <f t="shared" si="77"/>
        <v>32.27542250999417</v>
      </c>
      <c r="M253" s="28">
        <f t="shared" si="78"/>
        <v>74.81350139510266</v>
      </c>
      <c r="N253" s="29">
        <f t="shared" si="86"/>
        <v>3017.229995667075</v>
      </c>
      <c r="O253" s="29">
        <f t="shared" si="87"/>
        <v>275.45178552249916</v>
      </c>
      <c r="P253" s="29">
        <f t="shared" si="92"/>
        <v>7.461911613644991</v>
      </c>
    </row>
    <row r="254" spans="1:16" ht="11.25">
      <c r="A254" s="23"/>
      <c r="B254" s="15">
        <v>8</v>
      </c>
      <c r="C254" s="23">
        <f t="shared" si="93"/>
        <v>1608</v>
      </c>
      <c r="D254" s="24">
        <f>pol!D254</f>
        <v>8</v>
      </c>
      <c r="E254" s="25">
        <f>pol!E254</f>
        <v>60</v>
      </c>
      <c r="F254" s="26">
        <f>pol!F254*25.4</f>
        <v>219.075</v>
      </c>
      <c r="G254" s="27">
        <f>pol!G254*25.4</f>
        <v>10.3124</v>
      </c>
      <c r="H254" s="25">
        <f t="shared" si="88"/>
        <v>198.4502</v>
      </c>
      <c r="I254" s="27">
        <f t="shared" si="89"/>
        <v>67.63357123620591</v>
      </c>
      <c r="J254" s="28">
        <f t="shared" si="90"/>
        <v>309.30928938616694</v>
      </c>
      <c r="K254" s="28">
        <f t="shared" si="91"/>
        <v>53.09235342042164</v>
      </c>
      <c r="L254" s="28">
        <f t="shared" si="77"/>
        <v>30.930928938616695</v>
      </c>
      <c r="M254" s="28">
        <f t="shared" si="78"/>
        <v>84.02328235903833</v>
      </c>
      <c r="N254" s="29">
        <f t="shared" si="86"/>
        <v>3693.483591878684</v>
      </c>
      <c r="O254" s="29">
        <f t="shared" si="87"/>
        <v>337.18896194259355</v>
      </c>
      <c r="P254" s="29">
        <f t="shared" si="92"/>
        <v>7.389872187030708</v>
      </c>
    </row>
    <row r="255" spans="1:16" ht="11.25">
      <c r="A255" s="23"/>
      <c r="B255" s="15">
        <v>9</v>
      </c>
      <c r="C255" s="23">
        <f t="shared" si="93"/>
        <v>1609</v>
      </c>
      <c r="D255" s="24">
        <f>pol!D255</f>
        <v>8</v>
      </c>
      <c r="E255" s="25">
        <f>pol!E255</f>
        <v>80</v>
      </c>
      <c r="F255" s="26">
        <f>pol!F255*25.4</f>
        <v>219.075</v>
      </c>
      <c r="G255" s="27">
        <f>pol!G255*25.4</f>
        <v>12.7</v>
      </c>
      <c r="H255" s="25">
        <f t="shared" si="88"/>
        <v>193.67499999999998</v>
      </c>
      <c r="I255" s="27">
        <f t="shared" si="89"/>
        <v>82.33996535334343</v>
      </c>
      <c r="J255" s="28">
        <f t="shared" si="90"/>
        <v>294.6028952690295</v>
      </c>
      <c r="K255" s="28">
        <f t="shared" si="91"/>
        <v>64.6368728023746</v>
      </c>
      <c r="L255" s="28">
        <f t="shared" si="77"/>
        <v>29.46028952690295</v>
      </c>
      <c r="M255" s="28">
        <f t="shared" si="78"/>
        <v>94.09716232927755</v>
      </c>
      <c r="N255" s="29">
        <f t="shared" si="86"/>
        <v>4400.2406080638</v>
      </c>
      <c r="O255" s="29">
        <f t="shared" si="87"/>
        <v>401.71088513648755</v>
      </c>
      <c r="P255" s="29">
        <f t="shared" si="92"/>
        <v>7.310260821697812</v>
      </c>
    </row>
    <row r="256" spans="1:16" ht="11.25">
      <c r="A256" s="23"/>
      <c r="B256" s="15">
        <v>10</v>
      </c>
      <c r="C256" s="23">
        <f t="shared" si="93"/>
        <v>1610</v>
      </c>
      <c r="D256" s="24">
        <f>pol!D256</f>
        <v>8</v>
      </c>
      <c r="E256" s="25" t="str">
        <f>pol!E256</f>
        <v>80s</v>
      </c>
      <c r="F256" s="26">
        <f>pol!F256*25.4</f>
        <v>219.075</v>
      </c>
      <c r="G256" s="27">
        <f>pol!G256*25.4</f>
        <v>12.7</v>
      </c>
      <c r="H256" s="25">
        <f t="shared" si="88"/>
        <v>193.67499999999998</v>
      </c>
      <c r="I256" s="27">
        <f t="shared" si="89"/>
        <v>82.33996535334343</v>
      </c>
      <c r="J256" s="28">
        <f t="shared" si="90"/>
        <v>294.6028952690295</v>
      </c>
      <c r="K256" s="28">
        <f t="shared" si="91"/>
        <v>64.6368728023746</v>
      </c>
      <c r="L256" s="28">
        <f t="shared" si="77"/>
        <v>29.46028952690295</v>
      </c>
      <c r="M256" s="28">
        <f t="shared" si="78"/>
        <v>94.09716232927755</v>
      </c>
      <c r="N256" s="29">
        <f t="shared" si="86"/>
        <v>4400.2406080638</v>
      </c>
      <c r="O256" s="29">
        <f t="shared" si="87"/>
        <v>401.71088513648755</v>
      </c>
      <c r="P256" s="29">
        <f t="shared" si="92"/>
        <v>7.310260821697812</v>
      </c>
    </row>
    <row r="257" spans="1:16" ht="11.25">
      <c r="A257" s="23"/>
      <c r="B257" s="15">
        <v>11</v>
      </c>
      <c r="C257" s="23">
        <f t="shared" si="93"/>
        <v>1611</v>
      </c>
      <c r="D257" s="24">
        <f>pol!D257</f>
        <v>8</v>
      </c>
      <c r="E257" s="25" t="str">
        <f>pol!E257</f>
        <v>XS</v>
      </c>
      <c r="F257" s="26">
        <f>pol!F257*25.4</f>
        <v>219.075</v>
      </c>
      <c r="G257" s="27">
        <f>pol!G257*25.4</f>
        <v>12.7</v>
      </c>
      <c r="H257" s="25">
        <f t="shared" si="88"/>
        <v>193.67499999999998</v>
      </c>
      <c r="I257" s="27">
        <f t="shared" si="89"/>
        <v>82.33996535334343</v>
      </c>
      <c r="J257" s="28">
        <f t="shared" si="90"/>
        <v>294.6028952690295</v>
      </c>
      <c r="K257" s="28">
        <f t="shared" si="91"/>
        <v>64.6368728023746</v>
      </c>
      <c r="L257" s="28">
        <f t="shared" si="77"/>
        <v>29.46028952690295</v>
      </c>
      <c r="M257" s="28">
        <f t="shared" si="78"/>
        <v>94.09716232927755</v>
      </c>
      <c r="N257" s="29">
        <f t="shared" si="86"/>
        <v>4400.2406080638</v>
      </c>
      <c r="O257" s="29">
        <f t="shared" si="87"/>
        <v>401.71088513648755</v>
      </c>
      <c r="P257" s="29">
        <f t="shared" si="92"/>
        <v>7.310260821697812</v>
      </c>
    </row>
    <row r="258" spans="1:16" ht="11.25">
      <c r="A258" s="23"/>
      <c r="B258" s="15">
        <v>12</v>
      </c>
      <c r="C258" s="23">
        <f t="shared" si="93"/>
        <v>1612</v>
      </c>
      <c r="D258" s="24">
        <f>pol!D258</f>
        <v>8</v>
      </c>
      <c r="E258" s="25">
        <f>pol!E258</f>
        <v>100</v>
      </c>
      <c r="F258" s="26">
        <f>pol!F258*25.4</f>
        <v>219.075</v>
      </c>
      <c r="G258" s="27">
        <f>pol!G258*25.4</f>
        <v>15.062199999999999</v>
      </c>
      <c r="H258" s="25">
        <f t="shared" si="88"/>
        <v>188.95059999999998</v>
      </c>
      <c r="I258" s="27">
        <f t="shared" si="89"/>
        <v>96.53742247847536</v>
      </c>
      <c r="J258" s="28">
        <f t="shared" si="90"/>
        <v>280.4054381438975</v>
      </c>
      <c r="K258" s="28">
        <f t="shared" si="91"/>
        <v>75.78187664560316</v>
      </c>
      <c r="L258" s="28">
        <f t="shared" si="77"/>
        <v>28.040543814389753</v>
      </c>
      <c r="M258" s="28">
        <f t="shared" si="78"/>
        <v>103.82242045999291</v>
      </c>
      <c r="N258" s="29">
        <f t="shared" si="86"/>
        <v>5049.883723864897</v>
      </c>
      <c r="O258" s="29">
        <f t="shared" si="87"/>
        <v>461.01871266597254</v>
      </c>
      <c r="P258" s="29">
        <f t="shared" si="92"/>
        <v>7.232573230935862</v>
      </c>
    </row>
    <row r="259" spans="1:16" ht="11.25">
      <c r="A259" s="23"/>
      <c r="B259" s="15">
        <v>13</v>
      </c>
      <c r="C259" s="23">
        <f t="shared" si="93"/>
        <v>1613</v>
      </c>
      <c r="D259" s="24">
        <f>pol!D259</f>
        <v>8</v>
      </c>
      <c r="E259" s="25">
        <f>pol!E259</f>
        <v>120</v>
      </c>
      <c r="F259" s="26">
        <f>pol!F259*25.4</f>
        <v>219.075</v>
      </c>
      <c r="G259" s="27">
        <f>pol!G259*25.4</f>
        <v>18.237199999999998</v>
      </c>
      <c r="H259" s="25">
        <f t="shared" si="88"/>
        <v>182.6006</v>
      </c>
      <c r="I259" s="27">
        <f t="shared" si="89"/>
        <v>115.06771498907082</v>
      </c>
      <c r="J259" s="28">
        <f t="shared" si="90"/>
        <v>261.87514563330205</v>
      </c>
      <c r="K259" s="28">
        <f t="shared" si="91"/>
        <v>90.32815626642059</v>
      </c>
      <c r="L259" s="28">
        <f t="shared" si="77"/>
        <v>26.187514563330208</v>
      </c>
      <c r="M259" s="28">
        <f t="shared" si="78"/>
        <v>116.5156708297508</v>
      </c>
      <c r="N259" s="29">
        <f t="shared" si="86"/>
        <v>5849.5273241201485</v>
      </c>
      <c r="O259" s="29">
        <f t="shared" si="87"/>
        <v>534.020524854059</v>
      </c>
      <c r="P259" s="29">
        <f t="shared" si="92"/>
        <v>7.129903345477413</v>
      </c>
    </row>
    <row r="260" spans="1:16" ht="11.25">
      <c r="A260" s="23"/>
      <c r="B260" s="15">
        <v>14</v>
      </c>
      <c r="C260" s="23">
        <f t="shared" si="93"/>
        <v>1614</v>
      </c>
      <c r="D260" s="24">
        <f>pol!D260</f>
        <v>8</v>
      </c>
      <c r="E260" s="25">
        <f>pol!E260</f>
        <v>140</v>
      </c>
      <c r="F260" s="26">
        <f>pol!F260*25.4</f>
        <v>219.075</v>
      </c>
      <c r="G260" s="27">
        <f>pol!G260*25.4</f>
        <v>20.6248</v>
      </c>
      <c r="H260" s="25">
        <f t="shared" si="88"/>
        <v>177.8254</v>
      </c>
      <c r="I260" s="27">
        <f t="shared" si="89"/>
        <v>128.58525175045057</v>
      </c>
      <c r="J260" s="28">
        <f t="shared" si="90"/>
        <v>248.3576088719223</v>
      </c>
      <c r="K260" s="28">
        <f t="shared" si="91"/>
        <v>100.9394226241037</v>
      </c>
      <c r="L260" s="28">
        <f t="shared" si="77"/>
        <v>24.835760887192233</v>
      </c>
      <c r="M260" s="28">
        <f t="shared" si="78"/>
        <v>125.77518351129594</v>
      </c>
      <c r="N260" s="29">
        <f t="shared" si="86"/>
        <v>6398.38030860903</v>
      </c>
      <c r="O260" s="29">
        <f t="shared" si="87"/>
        <v>584.1269253551551</v>
      </c>
      <c r="P260" s="29">
        <f t="shared" si="92"/>
        <v>7.054064808239998</v>
      </c>
    </row>
    <row r="261" spans="1:16" ht="11.25">
      <c r="A261" s="23"/>
      <c r="B261" s="15">
        <v>15</v>
      </c>
      <c r="C261" s="23">
        <f t="shared" si="93"/>
        <v>1615</v>
      </c>
      <c r="D261" s="24">
        <f>pol!D261</f>
        <v>8</v>
      </c>
      <c r="E261" s="25" t="str">
        <f>pol!E261</f>
        <v>XXS</v>
      </c>
      <c r="F261" s="26">
        <f>pol!F261*25.4</f>
        <v>219.075</v>
      </c>
      <c r="G261" s="27">
        <f>pol!G261*25.4</f>
        <v>22.224999999999998</v>
      </c>
      <c r="H261" s="25">
        <f t="shared" si="88"/>
        <v>174.625</v>
      </c>
      <c r="I261" s="27">
        <f t="shared" si="89"/>
        <v>137.44440370519624</v>
      </c>
      <c r="J261" s="28">
        <f t="shared" si="90"/>
        <v>239.49845691717667</v>
      </c>
      <c r="K261" s="28">
        <f t="shared" si="91"/>
        <v>107.89385690857905</v>
      </c>
      <c r="L261" s="28">
        <f t="shared" si="77"/>
        <v>23.94984569171767</v>
      </c>
      <c r="M261" s="28">
        <f t="shared" si="78"/>
        <v>131.84370260029672</v>
      </c>
      <c r="N261" s="29">
        <f t="shared" si="86"/>
        <v>6742.313425935004</v>
      </c>
      <c r="O261" s="29">
        <f t="shared" si="87"/>
        <v>615.5255894953787</v>
      </c>
      <c r="P261" s="29">
        <f t="shared" si="92"/>
        <v>7.003916147859711</v>
      </c>
    </row>
    <row r="262" spans="1:16" ht="11.25">
      <c r="A262" s="23"/>
      <c r="B262" s="15">
        <v>16</v>
      </c>
      <c r="C262" s="23">
        <f t="shared" si="93"/>
        <v>1616</v>
      </c>
      <c r="D262" s="24">
        <f>pol!D262</f>
        <v>8</v>
      </c>
      <c r="E262" s="25">
        <f>pol!E262</f>
        <v>160</v>
      </c>
      <c r="F262" s="26">
        <f>pol!F262*25.4</f>
        <v>219.075</v>
      </c>
      <c r="G262" s="27">
        <f>pol!G262*25.4</f>
        <v>23.0124</v>
      </c>
      <c r="H262" s="25">
        <f t="shared" si="88"/>
        <v>173.0502</v>
      </c>
      <c r="I262" s="27">
        <f t="shared" si="89"/>
        <v>141.7446071290059</v>
      </c>
      <c r="J262" s="28">
        <f t="shared" si="90"/>
        <v>235.19825349336696</v>
      </c>
      <c r="K262" s="28">
        <f t="shared" si="91"/>
        <v>111.26951659626965</v>
      </c>
      <c r="L262" s="28">
        <f t="shared" si="77"/>
        <v>23.5198253493367</v>
      </c>
      <c r="M262" s="28">
        <f t="shared" si="78"/>
        <v>134.78934194560634</v>
      </c>
      <c r="N262" s="29">
        <f t="shared" si="86"/>
        <v>6904.754315355062</v>
      </c>
      <c r="O262" s="29">
        <f t="shared" si="87"/>
        <v>630.3552952509472</v>
      </c>
      <c r="P262" s="29">
        <f t="shared" si="92"/>
        <v>6.97944425371032</v>
      </c>
    </row>
    <row r="263" spans="1:16" ht="11.25">
      <c r="A263" s="23">
        <v>17</v>
      </c>
      <c r="B263" s="15">
        <v>1</v>
      </c>
      <c r="C263" s="23">
        <f>$A$263*100+B263</f>
        <v>1701</v>
      </c>
      <c r="D263" s="24">
        <f>pol!D263</f>
        <v>10</v>
      </c>
      <c r="E263" s="25" t="str">
        <f>pol!E263</f>
        <v>5s</v>
      </c>
      <c r="F263" s="26">
        <f>pol!F263*25.4</f>
        <v>273.05</v>
      </c>
      <c r="G263" s="27">
        <f>pol!G263*25.4</f>
        <v>3.4036</v>
      </c>
      <c r="H263" s="25">
        <f t="shared" si="88"/>
        <v>266.2428</v>
      </c>
      <c r="I263" s="27">
        <f t="shared" si="89"/>
        <v>28.83254736581097</v>
      </c>
      <c r="J263" s="28">
        <f t="shared" si="90"/>
        <v>556.7312831662349</v>
      </c>
      <c r="K263" s="28">
        <f t="shared" si="91"/>
        <v>22.633549682161615</v>
      </c>
      <c r="L263" s="28">
        <f t="shared" si="77"/>
        <v>55.67312831662349</v>
      </c>
      <c r="M263" s="28">
        <f t="shared" si="78"/>
        <v>78.3066779987851</v>
      </c>
      <c r="N263" s="29">
        <f t="shared" si="86"/>
        <v>2620.9061456301442</v>
      </c>
      <c r="O263" s="29">
        <f t="shared" si="87"/>
        <v>191.97261641678406</v>
      </c>
      <c r="P263" s="29">
        <f t="shared" si="92"/>
        <v>9.534199332266958</v>
      </c>
    </row>
    <row r="264" spans="1:16" ht="11.25">
      <c r="A264" s="23"/>
      <c r="B264" s="15">
        <v>2</v>
      </c>
      <c r="C264" s="23">
        <f aca="true" t="shared" si="94" ref="C264:C278">$A$263*100+B264</f>
        <v>1702</v>
      </c>
      <c r="D264" s="24">
        <f>pol!D264</f>
        <v>10</v>
      </c>
      <c r="E264" s="25" t="str">
        <f>pol!E264</f>
        <v>10s</v>
      </c>
      <c r="F264" s="26">
        <f>pol!F264*25.4</f>
        <v>273.05</v>
      </c>
      <c r="G264" s="27">
        <f>pol!G264*25.4</f>
        <v>4.191</v>
      </c>
      <c r="H264" s="25">
        <f t="shared" si="88"/>
        <v>264.668</v>
      </c>
      <c r="I264" s="27">
        <f t="shared" si="89"/>
        <v>35.39909119723035</v>
      </c>
      <c r="J264" s="28">
        <f t="shared" si="90"/>
        <v>550.1647393348155</v>
      </c>
      <c r="K264" s="28">
        <f t="shared" si="91"/>
        <v>27.788286589825823</v>
      </c>
      <c r="L264" s="28">
        <f t="shared" si="77"/>
        <v>55.01647393348156</v>
      </c>
      <c r="M264" s="28">
        <f t="shared" si="78"/>
        <v>82.80476052330738</v>
      </c>
      <c r="N264" s="29">
        <f t="shared" si="86"/>
        <v>3199.313505371039</v>
      </c>
      <c r="O264" s="29">
        <f t="shared" si="87"/>
        <v>234.33902255052473</v>
      </c>
      <c r="P264" s="29">
        <f t="shared" si="92"/>
        <v>9.506755911061358</v>
      </c>
    </row>
    <row r="265" spans="1:16" ht="11.25">
      <c r="A265" s="23"/>
      <c r="B265" s="15">
        <v>3</v>
      </c>
      <c r="C265" s="23">
        <f t="shared" si="94"/>
        <v>1703</v>
      </c>
      <c r="D265" s="24">
        <f>pol!D265</f>
        <v>10</v>
      </c>
      <c r="E265" s="25">
        <f>pol!E265</f>
        <v>20</v>
      </c>
      <c r="F265" s="26">
        <f>pol!F265*25.4</f>
        <v>273.05</v>
      </c>
      <c r="G265" s="27">
        <f>pol!G265*25.4</f>
        <v>6.35</v>
      </c>
      <c r="H265" s="25">
        <f t="shared" si="88"/>
        <v>260.35</v>
      </c>
      <c r="I265" s="27">
        <f t="shared" si="89"/>
        <v>53.20428530523721</v>
      </c>
      <c r="J265" s="28">
        <f t="shared" si="90"/>
        <v>532.3595452268087</v>
      </c>
      <c r="K265" s="28">
        <f t="shared" si="91"/>
        <v>41.76536396461121</v>
      </c>
      <c r="L265" s="28">
        <f t="shared" si="77"/>
        <v>53.23595452268087</v>
      </c>
      <c r="M265" s="28">
        <f t="shared" si="78"/>
        <v>95.00131848729208</v>
      </c>
      <c r="N265" s="29">
        <f t="shared" si="86"/>
        <v>4733.133858498817</v>
      </c>
      <c r="O265" s="29">
        <f t="shared" si="87"/>
        <v>346.68623757544896</v>
      </c>
      <c r="P265" s="29">
        <f t="shared" si="92"/>
        <v>9.431941243720722</v>
      </c>
    </row>
    <row r="266" spans="1:16" ht="11.25">
      <c r="A266" s="23"/>
      <c r="B266" s="15">
        <v>4</v>
      </c>
      <c r="C266" s="23">
        <f t="shared" si="94"/>
        <v>1704</v>
      </c>
      <c r="D266" s="24">
        <f>pol!D266</f>
        <v>10</v>
      </c>
      <c r="E266" s="25">
        <f>pol!E266</f>
        <v>30</v>
      </c>
      <c r="F266" s="26">
        <f>pol!F266*25.4</f>
        <v>273.05</v>
      </c>
      <c r="G266" s="27">
        <f>pol!G266*25.4</f>
        <v>7.7978</v>
      </c>
      <c r="H266" s="25">
        <f t="shared" si="88"/>
        <v>257.4544</v>
      </c>
      <c r="I266" s="27">
        <f t="shared" si="89"/>
        <v>64.98018738776219</v>
      </c>
      <c r="J266" s="28">
        <f t="shared" si="90"/>
        <v>520.5836431442837</v>
      </c>
      <c r="K266" s="28">
        <f t="shared" si="91"/>
        <v>51.00944709939332</v>
      </c>
      <c r="L266" s="28">
        <f aca="true" t="shared" si="95" ref="L266:L329">J266*0.1</f>
        <v>52.05836431442837</v>
      </c>
      <c r="M266" s="28">
        <f aca="true" t="shared" si="96" ref="M266:M329">L266+K266</f>
        <v>103.06781141382169</v>
      </c>
      <c r="N266" s="29">
        <f t="shared" si="86"/>
        <v>5719.843248603182</v>
      </c>
      <c r="O266" s="29">
        <f t="shared" si="87"/>
        <v>418.95940293742404</v>
      </c>
      <c r="P266" s="29">
        <f t="shared" si="92"/>
        <v>9.382132972416247</v>
      </c>
    </row>
    <row r="267" spans="1:16" ht="11.25">
      <c r="A267" s="23"/>
      <c r="B267" s="15">
        <v>5</v>
      </c>
      <c r="C267" s="23">
        <f t="shared" si="94"/>
        <v>1705</v>
      </c>
      <c r="D267" s="24">
        <f>pol!D267</f>
        <v>10</v>
      </c>
      <c r="E267" s="25">
        <f>pol!E267</f>
        <v>40</v>
      </c>
      <c r="F267" s="26">
        <f>pol!F267*25.4</f>
        <v>273.05</v>
      </c>
      <c r="G267" s="27">
        <f>pol!G267*25.4</f>
        <v>9.270999999999999</v>
      </c>
      <c r="H267" s="25">
        <f t="shared" si="88"/>
        <v>254.508</v>
      </c>
      <c r="I267" s="27">
        <f t="shared" si="89"/>
        <v>76.82749468824169</v>
      </c>
      <c r="J267" s="28">
        <f t="shared" si="90"/>
        <v>508.73633584380417</v>
      </c>
      <c r="K267" s="28">
        <f t="shared" si="91"/>
        <v>60.309583330269724</v>
      </c>
      <c r="L267" s="28">
        <f t="shared" si="95"/>
        <v>50.87363358438042</v>
      </c>
      <c r="M267" s="28">
        <f t="shared" si="96"/>
        <v>111.18321691465015</v>
      </c>
      <c r="N267" s="29">
        <f t="shared" si="86"/>
        <v>6690.264261625072</v>
      </c>
      <c r="O267" s="29">
        <f t="shared" si="87"/>
        <v>490.0394991118896</v>
      </c>
      <c r="P267" s="29">
        <f t="shared" si="92"/>
        <v>9.3317544091398</v>
      </c>
    </row>
    <row r="268" spans="1:16" ht="11.25">
      <c r="A268" s="23"/>
      <c r="B268" s="15">
        <v>6</v>
      </c>
      <c r="C268" s="23">
        <f t="shared" si="94"/>
        <v>1706</v>
      </c>
      <c r="D268" s="24">
        <f>pol!D268</f>
        <v>10</v>
      </c>
      <c r="E268" s="25" t="str">
        <f>pol!E268</f>
        <v>40s</v>
      </c>
      <c r="F268" s="26">
        <f>pol!F268*25.4</f>
        <v>273.05</v>
      </c>
      <c r="G268" s="27">
        <f>pol!G268*25.4</f>
        <v>9.270999999999999</v>
      </c>
      <c r="H268" s="25">
        <f t="shared" si="88"/>
        <v>254.508</v>
      </c>
      <c r="I268" s="27">
        <f t="shared" si="89"/>
        <v>76.82749468824169</v>
      </c>
      <c r="J268" s="28">
        <f t="shared" si="90"/>
        <v>508.73633584380417</v>
      </c>
      <c r="K268" s="28">
        <f t="shared" si="91"/>
        <v>60.309583330269724</v>
      </c>
      <c r="L268" s="28">
        <f t="shared" si="95"/>
        <v>50.87363358438042</v>
      </c>
      <c r="M268" s="28">
        <f t="shared" si="96"/>
        <v>111.18321691465015</v>
      </c>
      <c r="N268" s="29">
        <f t="shared" si="86"/>
        <v>6690.264261625072</v>
      </c>
      <c r="O268" s="29">
        <f t="shared" si="87"/>
        <v>490.0394991118896</v>
      </c>
      <c r="P268" s="29">
        <f t="shared" si="92"/>
        <v>9.3317544091398</v>
      </c>
    </row>
    <row r="269" spans="1:16" ht="11.25">
      <c r="A269" s="23"/>
      <c r="B269" s="15">
        <v>7</v>
      </c>
      <c r="C269" s="23">
        <f t="shared" si="94"/>
        <v>1707</v>
      </c>
      <c r="D269" s="24">
        <f>pol!D269</f>
        <v>10</v>
      </c>
      <c r="E269" s="25" t="str">
        <f>pol!E269</f>
        <v>STD</v>
      </c>
      <c r="F269" s="26">
        <f>pol!F269*25.4</f>
        <v>273.05</v>
      </c>
      <c r="G269" s="27">
        <f>pol!G269*25.4</f>
        <v>9.270999999999999</v>
      </c>
      <c r="H269" s="25">
        <f t="shared" si="88"/>
        <v>254.508</v>
      </c>
      <c r="I269" s="27">
        <f t="shared" si="89"/>
        <v>76.82749468824169</v>
      </c>
      <c r="J269" s="28">
        <f t="shared" si="90"/>
        <v>508.73633584380417</v>
      </c>
      <c r="K269" s="28">
        <f t="shared" si="91"/>
        <v>60.309583330269724</v>
      </c>
      <c r="L269" s="28">
        <f t="shared" si="95"/>
        <v>50.87363358438042</v>
      </c>
      <c r="M269" s="28">
        <f t="shared" si="96"/>
        <v>111.18321691465015</v>
      </c>
      <c r="N269" s="29">
        <f t="shared" si="86"/>
        <v>6690.264261625072</v>
      </c>
      <c r="O269" s="29">
        <f t="shared" si="87"/>
        <v>490.0394991118896</v>
      </c>
      <c r="P269" s="29">
        <f t="shared" si="92"/>
        <v>9.3317544091398</v>
      </c>
    </row>
    <row r="270" spans="1:16" ht="11.25">
      <c r="A270" s="23"/>
      <c r="B270" s="15">
        <v>8</v>
      </c>
      <c r="C270" s="23">
        <f t="shared" si="94"/>
        <v>1708</v>
      </c>
      <c r="D270" s="24">
        <f>pol!D270</f>
        <v>10</v>
      </c>
      <c r="E270" s="25">
        <f>pol!E270</f>
        <v>60</v>
      </c>
      <c r="F270" s="26">
        <f>pol!F270*25.4</f>
        <v>273.05</v>
      </c>
      <c r="G270" s="27">
        <f>pol!G270*25.4</f>
        <v>12.7</v>
      </c>
      <c r="H270" s="25">
        <f t="shared" si="88"/>
        <v>247.65</v>
      </c>
      <c r="I270" s="27">
        <f t="shared" si="89"/>
        <v>103.87503321498703</v>
      </c>
      <c r="J270" s="28">
        <f t="shared" si="90"/>
        <v>481.68879731705886</v>
      </c>
      <c r="K270" s="28">
        <f t="shared" si="91"/>
        <v>81.54190107376482</v>
      </c>
      <c r="L270" s="28">
        <f t="shared" si="95"/>
        <v>48.168879731705886</v>
      </c>
      <c r="M270" s="28">
        <f t="shared" si="96"/>
        <v>129.7107808054707</v>
      </c>
      <c r="N270" s="29">
        <f t="shared" si="86"/>
        <v>8822.030287721333</v>
      </c>
      <c r="O270" s="29">
        <f t="shared" si="87"/>
        <v>646.184236419801</v>
      </c>
      <c r="P270" s="29">
        <f t="shared" si="92"/>
        <v>9.215707548799497</v>
      </c>
    </row>
    <row r="271" spans="1:16" ht="11.25">
      <c r="A271" s="23"/>
      <c r="B271" s="15">
        <v>9</v>
      </c>
      <c r="C271" s="23">
        <f t="shared" si="94"/>
        <v>1709</v>
      </c>
      <c r="D271" s="24">
        <f>pol!D271</f>
        <v>10</v>
      </c>
      <c r="E271" s="25" t="str">
        <f>pol!E271</f>
        <v>XS</v>
      </c>
      <c r="F271" s="26">
        <f>pol!F271*25.4</f>
        <v>273.05</v>
      </c>
      <c r="G271" s="27">
        <f>pol!G271*25.4</f>
        <v>12.7</v>
      </c>
      <c r="H271" s="25">
        <f t="shared" si="88"/>
        <v>247.65</v>
      </c>
      <c r="I271" s="27">
        <f t="shared" si="89"/>
        <v>103.87503321498703</v>
      </c>
      <c r="J271" s="28">
        <f t="shared" si="90"/>
        <v>481.68879731705886</v>
      </c>
      <c r="K271" s="28">
        <f t="shared" si="91"/>
        <v>81.54190107376482</v>
      </c>
      <c r="L271" s="28">
        <f t="shared" si="95"/>
        <v>48.168879731705886</v>
      </c>
      <c r="M271" s="28">
        <f t="shared" si="96"/>
        <v>129.7107808054707</v>
      </c>
      <c r="N271" s="29">
        <f t="shared" si="86"/>
        <v>8822.030287721333</v>
      </c>
      <c r="O271" s="29">
        <f t="shared" si="87"/>
        <v>646.184236419801</v>
      </c>
      <c r="P271" s="29">
        <f t="shared" si="92"/>
        <v>9.215707548799497</v>
      </c>
    </row>
    <row r="272" spans="1:16" ht="11.25">
      <c r="A272" s="23"/>
      <c r="B272" s="15">
        <v>10</v>
      </c>
      <c r="C272" s="23">
        <f t="shared" si="94"/>
        <v>1710</v>
      </c>
      <c r="D272" s="24">
        <f>pol!D272</f>
        <v>10</v>
      </c>
      <c r="E272" s="25" t="str">
        <f>pol!E272</f>
        <v>80s</v>
      </c>
      <c r="F272" s="26">
        <f>pol!F272*25.4</f>
        <v>273.05</v>
      </c>
      <c r="G272" s="27">
        <f>pol!G272*25.4</f>
        <v>12.7</v>
      </c>
      <c r="H272" s="25">
        <f t="shared" si="88"/>
        <v>247.65</v>
      </c>
      <c r="I272" s="27">
        <f t="shared" si="89"/>
        <v>103.87503321498703</v>
      </c>
      <c r="J272" s="28">
        <f t="shared" si="90"/>
        <v>481.68879731705886</v>
      </c>
      <c r="K272" s="28">
        <f t="shared" si="91"/>
        <v>81.54190107376482</v>
      </c>
      <c r="L272" s="28">
        <f t="shared" si="95"/>
        <v>48.168879731705886</v>
      </c>
      <c r="M272" s="28">
        <f t="shared" si="96"/>
        <v>129.7107808054707</v>
      </c>
      <c r="N272" s="29">
        <f t="shared" si="86"/>
        <v>8822.030287721333</v>
      </c>
      <c r="O272" s="29">
        <f t="shared" si="87"/>
        <v>646.184236419801</v>
      </c>
      <c r="P272" s="29">
        <f t="shared" si="92"/>
        <v>9.215707548799497</v>
      </c>
    </row>
    <row r="273" spans="1:16" ht="11.25">
      <c r="A273" s="23"/>
      <c r="B273" s="15">
        <v>11</v>
      </c>
      <c r="C273" s="23">
        <f t="shared" si="94"/>
        <v>1711</v>
      </c>
      <c r="D273" s="24">
        <f>pol!D273</f>
        <v>10</v>
      </c>
      <c r="E273" s="25">
        <f>pol!E273</f>
        <v>80</v>
      </c>
      <c r="F273" s="26">
        <f>pol!F273*25.4</f>
        <v>273.05</v>
      </c>
      <c r="G273" s="27">
        <f>pol!G273*25.4</f>
        <v>15.062199999999999</v>
      </c>
      <c r="H273" s="25">
        <f t="shared" si="88"/>
        <v>242.9256</v>
      </c>
      <c r="I273" s="27">
        <f t="shared" si="89"/>
        <v>122.07801296238473</v>
      </c>
      <c r="J273" s="28">
        <f t="shared" si="90"/>
        <v>463.48581756966115</v>
      </c>
      <c r="K273" s="28">
        <f t="shared" si="91"/>
        <v>95.83124017547202</v>
      </c>
      <c r="L273" s="28">
        <f t="shared" si="95"/>
        <v>46.34858175696612</v>
      </c>
      <c r="M273" s="28">
        <f t="shared" si="96"/>
        <v>142.17982193243813</v>
      </c>
      <c r="N273" s="29">
        <f t="shared" si="86"/>
        <v>10191.160237850114</v>
      </c>
      <c r="O273" s="29">
        <f t="shared" si="87"/>
        <v>746.4684298004112</v>
      </c>
      <c r="P273" s="29">
        <f t="shared" si="92"/>
        <v>9.136778344805132</v>
      </c>
    </row>
    <row r="274" spans="1:16" ht="11.25">
      <c r="A274" s="23"/>
      <c r="B274" s="15">
        <v>12</v>
      </c>
      <c r="C274" s="23">
        <f t="shared" si="94"/>
        <v>1712</v>
      </c>
      <c r="D274" s="24">
        <f>pol!D274</f>
        <v>10</v>
      </c>
      <c r="E274" s="25">
        <f>pol!E274</f>
        <v>100</v>
      </c>
      <c r="F274" s="26">
        <f>pol!F274*25.4</f>
        <v>273.05</v>
      </c>
      <c r="G274" s="27">
        <f>pol!G274*25.4</f>
        <v>18.237199999999998</v>
      </c>
      <c r="H274" s="25">
        <f t="shared" si="88"/>
        <v>236.5756</v>
      </c>
      <c r="I274" s="27">
        <f t="shared" si="89"/>
        <v>145.99207243839112</v>
      </c>
      <c r="J274" s="28">
        <f t="shared" si="90"/>
        <v>439.5717580936547</v>
      </c>
      <c r="K274" s="28">
        <f t="shared" si="91"/>
        <v>114.60377686413703</v>
      </c>
      <c r="L274" s="28">
        <f t="shared" si="95"/>
        <v>43.957175809365474</v>
      </c>
      <c r="M274" s="28">
        <f t="shared" si="96"/>
        <v>158.5609526735025</v>
      </c>
      <c r="N274" s="29">
        <f t="shared" si="86"/>
        <v>11909.697215423728</v>
      </c>
      <c r="O274" s="29">
        <f t="shared" si="87"/>
        <v>872.345520265426</v>
      </c>
      <c r="P274" s="29">
        <f t="shared" si="92"/>
        <v>9.032037319154522</v>
      </c>
    </row>
    <row r="275" spans="1:16" ht="11.25">
      <c r="A275" s="23"/>
      <c r="B275" s="15">
        <v>13</v>
      </c>
      <c r="C275" s="23">
        <f t="shared" si="94"/>
        <v>1713</v>
      </c>
      <c r="D275" s="24">
        <f>pol!D275</f>
        <v>10</v>
      </c>
      <c r="E275" s="25">
        <f>pol!E275</f>
        <v>120</v>
      </c>
      <c r="F275" s="26">
        <f>pol!F275*25.4</f>
        <v>273.05</v>
      </c>
      <c r="G275" s="27">
        <f>pol!G275*25.4</f>
        <v>21.4122</v>
      </c>
      <c r="H275" s="25">
        <f t="shared" si="88"/>
        <v>230.22560000000001</v>
      </c>
      <c r="I275" s="27">
        <f t="shared" si="89"/>
        <v>169.27274756552563</v>
      </c>
      <c r="J275" s="28">
        <f t="shared" si="90"/>
        <v>416.2910829665202</v>
      </c>
      <c r="K275" s="28">
        <f t="shared" si="91"/>
        <v>132.87910683893762</v>
      </c>
      <c r="L275" s="28">
        <f t="shared" si="95"/>
        <v>41.62910829665202</v>
      </c>
      <c r="M275" s="28">
        <f t="shared" si="96"/>
        <v>174.50821513558964</v>
      </c>
      <c r="N275" s="29">
        <f t="shared" si="86"/>
        <v>13495.2834891041</v>
      </c>
      <c r="O275" s="29">
        <f t="shared" si="87"/>
        <v>988.4844159753965</v>
      </c>
      <c r="P275" s="29">
        <f t="shared" si="92"/>
        <v>8.928890237431526</v>
      </c>
    </row>
    <row r="276" spans="1:16" ht="11.25">
      <c r="A276" s="23"/>
      <c r="B276" s="15">
        <v>14</v>
      </c>
      <c r="C276" s="23">
        <f t="shared" si="94"/>
        <v>1714</v>
      </c>
      <c r="D276" s="24">
        <f>pol!D276</f>
        <v>10</v>
      </c>
      <c r="E276" s="25">
        <f>pol!E276</f>
        <v>140</v>
      </c>
      <c r="F276" s="26">
        <f>pol!F276*25.4</f>
        <v>273.05</v>
      </c>
      <c r="G276" s="27">
        <f>pol!G276*25.4</f>
        <v>25.4</v>
      </c>
      <c r="H276" s="25">
        <f t="shared" si="88"/>
        <v>222.25</v>
      </c>
      <c r="I276" s="27">
        <f t="shared" si="89"/>
        <v>197.61591684802417</v>
      </c>
      <c r="J276" s="28">
        <f t="shared" si="90"/>
        <v>387.94791368402167</v>
      </c>
      <c r="K276" s="28">
        <f t="shared" si="91"/>
        <v>155.12849472569897</v>
      </c>
      <c r="L276" s="28">
        <f t="shared" si="95"/>
        <v>38.79479136840217</v>
      </c>
      <c r="M276" s="28">
        <f t="shared" si="96"/>
        <v>193.92328609410114</v>
      </c>
      <c r="N276" s="29">
        <f t="shared" si="86"/>
        <v>15309.226649399432</v>
      </c>
      <c r="O276" s="29">
        <f t="shared" si="87"/>
        <v>1121.3496904888798</v>
      </c>
      <c r="P276" s="29">
        <f t="shared" si="92"/>
        <v>8.801681835024485</v>
      </c>
    </row>
    <row r="277" spans="1:16" ht="11.25">
      <c r="A277" s="23"/>
      <c r="B277" s="15">
        <v>15</v>
      </c>
      <c r="C277" s="23">
        <f t="shared" si="94"/>
        <v>1715</v>
      </c>
      <c r="D277" s="24">
        <f>pol!D277</f>
        <v>10</v>
      </c>
      <c r="E277" s="25">
        <f>pol!E277</f>
        <v>160</v>
      </c>
      <c r="F277" s="26">
        <f>pol!F277*25.4</f>
        <v>273.05</v>
      </c>
      <c r="G277" s="27">
        <f>pol!G277*25.4</f>
        <v>28.575</v>
      </c>
      <c r="H277" s="25">
        <f t="shared" si="88"/>
        <v>215.9</v>
      </c>
      <c r="I277" s="27">
        <f t="shared" si="89"/>
        <v>219.46767688410372</v>
      </c>
      <c r="J277" s="28">
        <f t="shared" si="90"/>
        <v>366.0961536479421</v>
      </c>
      <c r="K277" s="28">
        <f t="shared" si="91"/>
        <v>172.28212635402144</v>
      </c>
      <c r="L277" s="28">
        <f t="shared" si="95"/>
        <v>36.609615364794216</v>
      </c>
      <c r="M277" s="28">
        <f t="shared" si="96"/>
        <v>208.89174171881567</v>
      </c>
      <c r="N277" s="29">
        <f t="shared" si="86"/>
        <v>16620.43976905226</v>
      </c>
      <c r="O277" s="29">
        <f t="shared" si="87"/>
        <v>1217.391669588153</v>
      </c>
      <c r="P277" s="29">
        <f t="shared" si="92"/>
        <v>8.702338496777749</v>
      </c>
    </row>
    <row r="278" spans="1:16" ht="11.25" customHeight="1" hidden="1">
      <c r="A278" s="23"/>
      <c r="B278" s="15">
        <v>16</v>
      </c>
      <c r="C278" s="23">
        <f t="shared" si="94"/>
        <v>1716</v>
      </c>
      <c r="D278" s="24"/>
      <c r="E278" s="25"/>
      <c r="F278" s="26"/>
      <c r="G278" s="27"/>
      <c r="H278" s="25"/>
      <c r="I278" s="27"/>
      <c r="J278" s="28"/>
      <c r="K278" s="28"/>
      <c r="L278" s="28"/>
      <c r="M278" s="28"/>
      <c r="N278" s="29"/>
      <c r="O278" s="29"/>
      <c r="P278" s="29"/>
    </row>
    <row r="279" spans="1:16" ht="11.25">
      <c r="A279" s="23">
        <v>18</v>
      </c>
      <c r="B279" s="15">
        <v>1</v>
      </c>
      <c r="C279" s="23">
        <f>$A$279*100+B279</f>
        <v>1801</v>
      </c>
      <c r="D279" s="24">
        <f>pol!D279</f>
        <v>12</v>
      </c>
      <c r="E279" s="25" t="str">
        <f>pol!E279</f>
        <v>5s</v>
      </c>
      <c r="F279" s="26">
        <f>pol!F279*25.4</f>
        <v>323.84999999999997</v>
      </c>
      <c r="G279" s="27">
        <f>pol!G279*25.4</f>
        <v>3.9623999999999997</v>
      </c>
      <c r="H279" s="25">
        <f>F279-2*G279</f>
        <v>315.92519999999996</v>
      </c>
      <c r="I279" s="27">
        <f>PI()*(F279^2-H279^2)/400</f>
        <v>39.82039770854434</v>
      </c>
      <c r="J279" s="28">
        <f>PI()*H279^2/400</f>
        <v>783.8959479993252</v>
      </c>
      <c r="K279" s="28">
        <f>0.785*I279</f>
        <v>31.25901220120731</v>
      </c>
      <c r="L279" s="28">
        <f t="shared" si="95"/>
        <v>78.38959479993252</v>
      </c>
      <c r="M279" s="28">
        <f t="shared" si="96"/>
        <v>109.64860700113984</v>
      </c>
      <c r="N279" s="29">
        <f t="shared" si="86"/>
        <v>5094.212391238635</v>
      </c>
      <c r="O279" s="29">
        <f t="shared" si="87"/>
        <v>314.60320464651136</v>
      </c>
      <c r="P279" s="29">
        <f>SQRT(N279/I279)</f>
        <v>11.310602174924185</v>
      </c>
    </row>
    <row r="280" spans="1:16" ht="11.25">
      <c r="A280" s="23"/>
      <c r="B280" s="15">
        <v>2</v>
      </c>
      <c r="C280" s="23">
        <f aca="true" t="shared" si="97" ref="C280:C294">$A$279*100+B280</f>
        <v>1802</v>
      </c>
      <c r="D280" s="24">
        <f>pol!D280</f>
        <v>12</v>
      </c>
      <c r="E280" s="25" t="str">
        <f>pol!E280</f>
        <v>10s</v>
      </c>
      <c r="F280" s="26">
        <f>pol!F280*25.4</f>
        <v>323.84999999999997</v>
      </c>
      <c r="G280" s="27">
        <f>pol!G280*25.4</f>
        <v>4.571999999999999</v>
      </c>
      <c r="H280" s="25">
        <f t="shared" si="88"/>
        <v>314.70599999999996</v>
      </c>
      <c r="I280" s="27">
        <f t="shared" si="89"/>
        <v>45.85905368823992</v>
      </c>
      <c r="J280" s="28">
        <f t="shared" si="90"/>
        <v>777.8572920196297</v>
      </c>
      <c r="K280" s="28">
        <f t="shared" si="91"/>
        <v>35.999357145268334</v>
      </c>
      <c r="L280" s="28">
        <f t="shared" si="95"/>
        <v>77.78572920196297</v>
      </c>
      <c r="M280" s="28">
        <f t="shared" si="96"/>
        <v>113.7850863472313</v>
      </c>
      <c r="N280" s="29">
        <f t="shared" si="86"/>
        <v>5844.698814969691</v>
      </c>
      <c r="O280" s="29">
        <f t="shared" si="87"/>
        <v>360.9509844044892</v>
      </c>
      <c r="P280" s="29">
        <f t="shared" si="92"/>
        <v>11.289339244836246</v>
      </c>
    </row>
    <row r="281" spans="1:16" ht="11.25">
      <c r="A281" s="23"/>
      <c r="B281" s="15">
        <v>3</v>
      </c>
      <c r="C281" s="23">
        <f t="shared" si="97"/>
        <v>1803</v>
      </c>
      <c r="D281" s="24">
        <v>148</v>
      </c>
      <c r="E281" s="25">
        <f>pol!E281</f>
        <v>20</v>
      </c>
      <c r="F281" s="26">
        <f>pol!F281*25.4</f>
        <v>323.84999999999997</v>
      </c>
      <c r="G281" s="27">
        <f>pol!G281*25.4</f>
        <v>6.35</v>
      </c>
      <c r="H281" s="25">
        <f t="shared" si="88"/>
        <v>311.15</v>
      </c>
      <c r="I281" s="27">
        <f t="shared" si="89"/>
        <v>63.33843488718721</v>
      </c>
      <c r="J281" s="28">
        <f t="shared" si="90"/>
        <v>760.3779108206825</v>
      </c>
      <c r="K281" s="28">
        <f t="shared" si="91"/>
        <v>49.720671386441964</v>
      </c>
      <c r="L281" s="28">
        <f t="shared" si="95"/>
        <v>76.03779108206825</v>
      </c>
      <c r="M281" s="28">
        <f t="shared" si="96"/>
        <v>125.75846246851022</v>
      </c>
      <c r="N281" s="29">
        <f t="shared" si="86"/>
        <v>7984.33008235905</v>
      </c>
      <c r="O281" s="29">
        <f t="shared" si="87"/>
        <v>493.0881631841316</v>
      </c>
      <c r="P281" s="29">
        <f t="shared" si="92"/>
        <v>11.227564990905183</v>
      </c>
    </row>
    <row r="282" spans="1:16" ht="11.25">
      <c r="A282" s="23"/>
      <c r="B282" s="15">
        <v>4</v>
      </c>
      <c r="C282" s="23">
        <f t="shared" si="97"/>
        <v>1804</v>
      </c>
      <c r="D282" s="24">
        <f>pol!D282</f>
        <v>12</v>
      </c>
      <c r="E282" s="25">
        <f>pol!E282</f>
        <v>30</v>
      </c>
      <c r="F282" s="26">
        <f>pol!F282*25.4</f>
        <v>323.84999999999997</v>
      </c>
      <c r="G282" s="27">
        <f>pol!G282*25.4</f>
        <v>8.382</v>
      </c>
      <c r="H282" s="25">
        <f aca="true" t="shared" si="98" ref="H282:H295">F282-2*G282</f>
        <v>307.08599999999996</v>
      </c>
      <c r="I282" s="27">
        <f aca="true" t="shared" si="99" ref="I282:I295">PI()*(F282^2-H282^2)/400</f>
        <v>83.0716509531602</v>
      </c>
      <c r="J282" s="28">
        <f aca="true" t="shared" si="100" ref="J282:J295">PI()*H282^2/400</f>
        <v>740.6446947547093</v>
      </c>
      <c r="K282" s="28">
        <f aca="true" t="shared" si="101" ref="K282:K295">0.785*I282</f>
        <v>65.21124599823077</v>
      </c>
      <c r="L282" s="28">
        <f t="shared" si="95"/>
        <v>74.06446947547094</v>
      </c>
      <c r="M282" s="28">
        <f t="shared" si="96"/>
        <v>139.27571547370172</v>
      </c>
      <c r="N282" s="29">
        <f t="shared" si="86"/>
        <v>10341.415059773552</v>
      </c>
      <c r="O282" s="29">
        <f t="shared" si="87"/>
        <v>638.6546277457805</v>
      </c>
      <c r="P282" s="29">
        <f aca="true" t="shared" si="102" ref="P282:P295">SQRT(N282/I282)</f>
        <v>11.157414404108142</v>
      </c>
    </row>
    <row r="283" spans="1:16" ht="11.25">
      <c r="A283" s="23"/>
      <c r="B283" s="15">
        <v>5</v>
      </c>
      <c r="C283" s="23">
        <f t="shared" si="97"/>
        <v>1805</v>
      </c>
      <c r="D283" s="24">
        <f>pol!D283</f>
        <v>12</v>
      </c>
      <c r="E283" s="25" t="str">
        <f>pol!E283</f>
        <v>40s</v>
      </c>
      <c r="F283" s="26">
        <f>pol!F283*25.4</f>
        <v>323.84999999999997</v>
      </c>
      <c r="G283" s="27">
        <f>pol!G283*25.4</f>
        <v>9.524999999999999</v>
      </c>
      <c r="H283" s="25">
        <f t="shared" si="98"/>
        <v>304.79999999999995</v>
      </c>
      <c r="I283" s="27">
        <f t="shared" si="99"/>
        <v>94.05757580747303</v>
      </c>
      <c r="J283" s="28">
        <f t="shared" si="100"/>
        <v>729.6587699003966</v>
      </c>
      <c r="K283" s="28">
        <f t="shared" si="101"/>
        <v>73.83519700886633</v>
      </c>
      <c r="L283" s="28">
        <f t="shared" si="95"/>
        <v>72.96587699003966</v>
      </c>
      <c r="M283" s="28">
        <f t="shared" si="96"/>
        <v>146.801073998906</v>
      </c>
      <c r="N283" s="29">
        <f t="shared" si="86"/>
        <v>11626.801578398095</v>
      </c>
      <c r="O283" s="29">
        <f t="shared" si="87"/>
        <v>718.0362253140711</v>
      </c>
      <c r="P283" s="29">
        <f t="shared" si="102"/>
        <v>11.118168197257134</v>
      </c>
    </row>
    <row r="284" spans="1:16" ht="11.25">
      <c r="A284" s="23"/>
      <c r="B284" s="15">
        <v>6</v>
      </c>
      <c r="C284" s="23">
        <f t="shared" si="97"/>
        <v>1806</v>
      </c>
      <c r="D284" s="24">
        <f>pol!D284</f>
        <v>12</v>
      </c>
      <c r="E284" s="25" t="str">
        <f>pol!E284</f>
        <v>STD</v>
      </c>
      <c r="F284" s="26">
        <f>pol!F284*25.4</f>
        <v>323.84999999999997</v>
      </c>
      <c r="G284" s="27">
        <f>pol!G284*25.4</f>
        <v>9.524999999999999</v>
      </c>
      <c r="H284" s="25">
        <f t="shared" si="98"/>
        <v>304.79999999999995</v>
      </c>
      <c r="I284" s="27">
        <f t="shared" si="99"/>
        <v>94.05757580747303</v>
      </c>
      <c r="J284" s="28">
        <f t="shared" si="100"/>
        <v>729.6587699003966</v>
      </c>
      <c r="K284" s="28">
        <f t="shared" si="101"/>
        <v>73.83519700886633</v>
      </c>
      <c r="L284" s="28">
        <f t="shared" si="95"/>
        <v>72.96587699003966</v>
      </c>
      <c r="M284" s="28">
        <f t="shared" si="96"/>
        <v>146.801073998906</v>
      </c>
      <c r="N284" s="29">
        <f t="shared" si="86"/>
        <v>11626.801578398095</v>
      </c>
      <c r="O284" s="29">
        <f t="shared" si="87"/>
        <v>718.0362253140711</v>
      </c>
      <c r="P284" s="29">
        <f t="shared" si="102"/>
        <v>11.118168197257134</v>
      </c>
    </row>
    <row r="285" spans="1:16" ht="11.25">
      <c r="A285" s="23"/>
      <c r="B285" s="15">
        <v>7</v>
      </c>
      <c r="C285" s="23">
        <f t="shared" si="97"/>
        <v>1807</v>
      </c>
      <c r="D285" s="24">
        <f>pol!D285</f>
        <v>12</v>
      </c>
      <c r="E285" s="25">
        <f>pol!E285</f>
        <v>40</v>
      </c>
      <c r="F285" s="26">
        <f>pol!F285*25.4</f>
        <v>323.84999999999997</v>
      </c>
      <c r="G285" s="27">
        <f>pol!G285*25.4</f>
        <v>10.3124</v>
      </c>
      <c r="H285" s="25">
        <f t="shared" si="98"/>
        <v>303.2252</v>
      </c>
      <c r="I285" s="27">
        <f t="shared" si="99"/>
        <v>101.57790526094728</v>
      </c>
      <c r="J285" s="28">
        <f t="shared" si="100"/>
        <v>722.1384404469223</v>
      </c>
      <c r="K285" s="28">
        <f t="shared" si="101"/>
        <v>79.73865562984362</v>
      </c>
      <c r="L285" s="28">
        <f t="shared" si="95"/>
        <v>72.21384404469224</v>
      </c>
      <c r="M285" s="28">
        <f t="shared" si="96"/>
        <v>151.95249967453586</v>
      </c>
      <c r="N285" s="29">
        <f t="shared" si="86"/>
        <v>12495.627881274362</v>
      </c>
      <c r="O285" s="29">
        <f t="shared" si="87"/>
        <v>771.6923193623197</v>
      </c>
      <c r="P285" s="29">
        <f t="shared" si="102"/>
        <v>11.091222442066517</v>
      </c>
    </row>
    <row r="286" spans="1:16" ht="11.25">
      <c r="A286" s="23"/>
      <c r="B286" s="15">
        <v>8</v>
      </c>
      <c r="C286" s="23">
        <f t="shared" si="97"/>
        <v>1808</v>
      </c>
      <c r="D286" s="24">
        <f>pol!D286</f>
        <v>12</v>
      </c>
      <c r="E286" s="25" t="str">
        <f>pol!E286</f>
        <v>XS</v>
      </c>
      <c r="F286" s="26">
        <f>pol!F286*25.4</f>
        <v>323.84999999999997</v>
      </c>
      <c r="G286" s="27">
        <f>pol!G286*25.4</f>
        <v>12.7</v>
      </c>
      <c r="H286" s="25">
        <f t="shared" si="98"/>
        <v>298.45</v>
      </c>
      <c r="I286" s="27">
        <f t="shared" si="99"/>
        <v>124.14333237888681</v>
      </c>
      <c r="J286" s="28">
        <f t="shared" si="100"/>
        <v>699.5730133289828</v>
      </c>
      <c r="K286" s="28">
        <f t="shared" si="101"/>
        <v>97.45251591742615</v>
      </c>
      <c r="L286" s="28">
        <f t="shared" si="95"/>
        <v>69.95730133289828</v>
      </c>
      <c r="M286" s="28">
        <f t="shared" si="96"/>
        <v>167.40981725032444</v>
      </c>
      <c r="N286" s="29">
        <f t="shared" si="86"/>
        <v>15048.594619042033</v>
      </c>
      <c r="O286" s="29">
        <f t="shared" si="87"/>
        <v>929.355851106502</v>
      </c>
      <c r="P286" s="29">
        <f t="shared" si="102"/>
        <v>11.009973461593809</v>
      </c>
    </row>
    <row r="287" spans="1:16" ht="11.25">
      <c r="A287" s="23"/>
      <c r="B287" s="15">
        <v>9</v>
      </c>
      <c r="C287" s="23">
        <f t="shared" si="97"/>
        <v>1809</v>
      </c>
      <c r="D287" s="24">
        <f>pol!D287</f>
        <v>12</v>
      </c>
      <c r="E287" s="25" t="str">
        <f>pol!E287</f>
        <v>80s</v>
      </c>
      <c r="F287" s="26">
        <f>pol!F287*25.4</f>
        <v>323.84999999999997</v>
      </c>
      <c r="G287" s="27">
        <f>pol!G287*25.4</f>
        <v>12.7</v>
      </c>
      <c r="H287" s="25">
        <f t="shared" si="98"/>
        <v>298.45</v>
      </c>
      <c r="I287" s="27">
        <f t="shared" si="99"/>
        <v>124.14333237888681</v>
      </c>
      <c r="J287" s="28">
        <f t="shared" si="100"/>
        <v>699.5730133289828</v>
      </c>
      <c r="K287" s="28">
        <f t="shared" si="101"/>
        <v>97.45251591742615</v>
      </c>
      <c r="L287" s="28">
        <f t="shared" si="95"/>
        <v>69.95730133289828</v>
      </c>
      <c r="M287" s="28">
        <f t="shared" si="96"/>
        <v>167.40981725032444</v>
      </c>
      <c r="N287" s="29">
        <f t="shared" si="86"/>
        <v>15048.594619042033</v>
      </c>
      <c r="O287" s="29">
        <f t="shared" si="87"/>
        <v>929.355851106502</v>
      </c>
      <c r="P287" s="29">
        <f t="shared" si="102"/>
        <v>11.009973461593809</v>
      </c>
    </row>
    <row r="288" spans="1:16" ht="11.25">
      <c r="A288" s="23"/>
      <c r="B288" s="15">
        <v>10</v>
      </c>
      <c r="C288" s="23">
        <f t="shared" si="97"/>
        <v>1810</v>
      </c>
      <c r="D288" s="24">
        <f>pol!D288</f>
        <v>12</v>
      </c>
      <c r="E288" s="25">
        <f>pol!E288</f>
        <v>60</v>
      </c>
      <c r="F288" s="26">
        <f>pol!F288*25.4</f>
        <v>323.84999999999997</v>
      </c>
      <c r="G288" s="27">
        <f>pol!G288*25.4</f>
        <v>14.2748</v>
      </c>
      <c r="H288" s="25">
        <f t="shared" si="98"/>
        <v>295.30039999999997</v>
      </c>
      <c r="I288" s="27">
        <f t="shared" si="99"/>
        <v>138.830876977802</v>
      </c>
      <c r="J288" s="28">
        <f t="shared" si="100"/>
        <v>684.8854687300675</v>
      </c>
      <c r="K288" s="28">
        <f t="shared" si="101"/>
        <v>108.98223842757459</v>
      </c>
      <c r="L288" s="28">
        <f t="shared" si="95"/>
        <v>68.48854687300675</v>
      </c>
      <c r="M288" s="28">
        <f t="shared" si="96"/>
        <v>177.47078530058133</v>
      </c>
      <c r="N288" s="29">
        <f t="shared" si="86"/>
        <v>16666.746456562516</v>
      </c>
      <c r="O288" s="29">
        <f t="shared" si="87"/>
        <v>1029.2880319013443</v>
      </c>
      <c r="P288" s="29">
        <f t="shared" si="102"/>
        <v>10.956765853234245</v>
      </c>
    </row>
    <row r="289" spans="1:16" ht="11.25">
      <c r="A289" s="23"/>
      <c r="B289" s="15">
        <v>11</v>
      </c>
      <c r="C289" s="23">
        <f t="shared" si="97"/>
        <v>1811</v>
      </c>
      <c r="D289" s="24">
        <f>pol!D289</f>
        <v>12</v>
      </c>
      <c r="E289" s="25">
        <f>pol!E289</f>
        <v>80</v>
      </c>
      <c r="F289" s="26">
        <f>pol!F289*25.4</f>
        <v>323.84999999999997</v>
      </c>
      <c r="G289" s="27">
        <f>pol!G289*25.4</f>
        <v>17.475199999999997</v>
      </c>
      <c r="H289" s="25">
        <f t="shared" si="98"/>
        <v>288.89959999999996</v>
      </c>
      <c r="I289" s="27">
        <f t="shared" si="99"/>
        <v>168.19964246629297</v>
      </c>
      <c r="J289" s="28">
        <f t="shared" si="100"/>
        <v>655.5167032415766</v>
      </c>
      <c r="K289" s="28">
        <f t="shared" si="101"/>
        <v>132.03671933604</v>
      </c>
      <c r="L289" s="28">
        <f t="shared" si="95"/>
        <v>65.55167032415766</v>
      </c>
      <c r="M289" s="28">
        <f t="shared" si="96"/>
        <v>197.58838966019766</v>
      </c>
      <c r="N289" s="29">
        <f t="shared" si="86"/>
        <v>19799.389783500297</v>
      </c>
      <c r="O289" s="29">
        <f t="shared" si="87"/>
        <v>1222.75064279761</v>
      </c>
      <c r="P289" s="29">
        <f t="shared" si="102"/>
        <v>10.849591045868964</v>
      </c>
    </row>
    <row r="290" spans="1:16" ht="11.25">
      <c r="A290" s="23"/>
      <c r="B290" s="15">
        <v>12</v>
      </c>
      <c r="C290" s="23">
        <f t="shared" si="97"/>
        <v>1812</v>
      </c>
      <c r="D290" s="24">
        <f>pol!D290</f>
        <v>12</v>
      </c>
      <c r="E290" s="25">
        <f>pol!E290</f>
        <v>100</v>
      </c>
      <c r="F290" s="26">
        <f>pol!F290*25.4</f>
        <v>323.84999999999997</v>
      </c>
      <c r="G290" s="27">
        <f>pol!G290*25.4</f>
        <v>21.4376</v>
      </c>
      <c r="H290" s="25">
        <f t="shared" si="98"/>
        <v>280.97479999999996</v>
      </c>
      <c r="I290" s="27">
        <f t="shared" si="99"/>
        <v>203.66932814951113</v>
      </c>
      <c r="J290" s="28">
        <f t="shared" si="100"/>
        <v>620.0470175583584</v>
      </c>
      <c r="K290" s="28">
        <f t="shared" si="101"/>
        <v>159.88042259736625</v>
      </c>
      <c r="L290" s="28">
        <f t="shared" si="95"/>
        <v>62.004701755835846</v>
      </c>
      <c r="M290" s="28">
        <f t="shared" si="96"/>
        <v>221.8851243532021</v>
      </c>
      <c r="N290" s="29">
        <f t="shared" si="86"/>
        <v>23399.780511590958</v>
      </c>
      <c r="O290" s="29">
        <f t="shared" si="87"/>
        <v>1445.09992351959</v>
      </c>
      <c r="P290" s="29">
        <f t="shared" si="102"/>
        <v>10.718723709444138</v>
      </c>
    </row>
    <row r="291" spans="1:16" ht="11.25">
      <c r="A291" s="23"/>
      <c r="B291" s="15">
        <v>13</v>
      </c>
      <c r="C291" s="23">
        <f t="shared" si="97"/>
        <v>1813</v>
      </c>
      <c r="D291" s="24">
        <f>pol!D291</f>
        <v>12</v>
      </c>
      <c r="E291" s="25">
        <f>pol!E291</f>
        <v>120</v>
      </c>
      <c r="F291" s="26">
        <f>pol!F291*25.4</f>
        <v>323.84999999999997</v>
      </c>
      <c r="G291" s="27">
        <f>pol!G291*25.4</f>
        <v>25.4</v>
      </c>
      <c r="H291" s="25">
        <f t="shared" si="98"/>
        <v>273.04999999999995</v>
      </c>
      <c r="I291" s="27">
        <f t="shared" si="99"/>
        <v>238.15251517582396</v>
      </c>
      <c r="J291" s="28">
        <f t="shared" si="100"/>
        <v>585.5638305320456</v>
      </c>
      <c r="K291" s="28">
        <f t="shared" si="101"/>
        <v>186.9497244130218</v>
      </c>
      <c r="L291" s="28">
        <f t="shared" si="95"/>
        <v>58.55638305320456</v>
      </c>
      <c r="M291" s="28">
        <f t="shared" si="96"/>
        <v>245.50610746622638</v>
      </c>
      <c r="N291" s="29">
        <f t="shared" si="86"/>
        <v>26708.07895602397</v>
      </c>
      <c r="O291" s="29">
        <f t="shared" si="87"/>
        <v>1649.4104650933439</v>
      </c>
      <c r="P291" s="29">
        <f t="shared" si="102"/>
        <v>10.589945850900275</v>
      </c>
    </row>
    <row r="292" spans="1:16" ht="11.25">
      <c r="A292" s="23"/>
      <c r="B292" s="15">
        <v>14</v>
      </c>
      <c r="C292" s="23">
        <f t="shared" si="97"/>
        <v>1814</v>
      </c>
      <c r="D292" s="24">
        <f>pol!D292</f>
        <v>12</v>
      </c>
      <c r="E292" s="25">
        <f>pol!E292</f>
        <v>140</v>
      </c>
      <c r="F292" s="26">
        <f>pol!F292*25.4</f>
        <v>323.84999999999997</v>
      </c>
      <c r="G292" s="27">
        <f>pol!G292*25.4</f>
        <v>28.575</v>
      </c>
      <c r="H292" s="25">
        <f t="shared" si="98"/>
        <v>266.7</v>
      </c>
      <c r="I292" s="27">
        <f t="shared" si="99"/>
        <v>265.0713500028784</v>
      </c>
      <c r="J292" s="28">
        <f t="shared" si="100"/>
        <v>558.6449957049913</v>
      </c>
      <c r="K292" s="28">
        <f t="shared" si="101"/>
        <v>208.08100975225955</v>
      </c>
      <c r="L292" s="28">
        <f t="shared" si="95"/>
        <v>55.864499570499135</v>
      </c>
      <c r="M292" s="28">
        <f t="shared" si="96"/>
        <v>263.94550932275865</v>
      </c>
      <c r="N292" s="29">
        <f t="shared" si="86"/>
        <v>29159.126227058427</v>
      </c>
      <c r="O292" s="29">
        <f t="shared" si="87"/>
        <v>1800.7797577309514</v>
      </c>
      <c r="P292" s="29">
        <f t="shared" si="102"/>
        <v>10.48831827856592</v>
      </c>
    </row>
    <row r="293" spans="1:16" ht="11.25">
      <c r="A293" s="23"/>
      <c r="B293" s="15">
        <v>15</v>
      </c>
      <c r="C293" s="23">
        <f t="shared" si="97"/>
        <v>1815</v>
      </c>
      <c r="D293" s="24">
        <f>pol!D293</f>
        <v>12</v>
      </c>
      <c r="E293" s="25">
        <f>pol!E293</f>
        <v>160</v>
      </c>
      <c r="F293" s="26">
        <f>pol!F293*25.4</f>
        <v>323.84999999999997</v>
      </c>
      <c r="G293" s="27">
        <f>pol!G293*25.4</f>
        <v>33.324799999999996</v>
      </c>
      <c r="H293" s="25">
        <f t="shared" si="98"/>
        <v>257.20039999999995</v>
      </c>
      <c r="I293" s="27">
        <f t="shared" si="99"/>
        <v>304.1593932577336</v>
      </c>
      <c r="J293" s="28">
        <f t="shared" si="100"/>
        <v>519.556952450136</v>
      </c>
      <c r="K293" s="28">
        <f t="shared" si="101"/>
        <v>238.7651237073209</v>
      </c>
      <c r="L293" s="28">
        <f t="shared" si="95"/>
        <v>51.9556952450136</v>
      </c>
      <c r="M293" s="28">
        <f t="shared" si="96"/>
        <v>290.7208189523345</v>
      </c>
      <c r="N293" s="29">
        <f t="shared" si="86"/>
        <v>32512.903198971017</v>
      </c>
      <c r="O293" s="29">
        <f t="shared" si="87"/>
        <v>2007.8989161013444</v>
      </c>
      <c r="P293" s="29">
        <f t="shared" si="102"/>
        <v>10.33896961319647</v>
      </c>
    </row>
    <row r="294" spans="1:16" ht="11.25" hidden="1">
      <c r="A294" s="23"/>
      <c r="B294" s="15">
        <v>16</v>
      </c>
      <c r="C294" s="23">
        <f t="shared" si="97"/>
        <v>1816</v>
      </c>
      <c r="D294" s="24"/>
      <c r="E294" s="25"/>
      <c r="F294" s="26"/>
      <c r="G294" s="27"/>
      <c r="H294" s="25"/>
      <c r="I294" s="27"/>
      <c r="J294" s="28"/>
      <c r="K294" s="28"/>
      <c r="L294" s="28"/>
      <c r="M294" s="28"/>
      <c r="N294" s="29"/>
      <c r="O294" s="29"/>
      <c r="P294" s="29"/>
    </row>
    <row r="295" spans="1:16" ht="11.25">
      <c r="A295" s="23">
        <v>19</v>
      </c>
      <c r="B295" s="15">
        <v>1</v>
      </c>
      <c r="C295" s="23">
        <f>$A$295*100+B295</f>
        <v>1901</v>
      </c>
      <c r="D295" s="24">
        <f>pol!D295</f>
        <v>14</v>
      </c>
      <c r="E295" s="25" t="str">
        <f>pol!E295</f>
        <v>5s</v>
      </c>
      <c r="F295" s="26">
        <f>pol!F295*25.4</f>
        <v>355.59999999999997</v>
      </c>
      <c r="G295" s="27">
        <f>pol!G295*25.4</f>
        <v>3.9623999999999997</v>
      </c>
      <c r="H295" s="25">
        <f t="shared" si="98"/>
        <v>347.67519999999996</v>
      </c>
      <c r="I295" s="27">
        <f t="shared" si="99"/>
        <v>43.77271604550467</v>
      </c>
      <c r="J295" s="28">
        <f t="shared" si="100"/>
        <v>949.3739429855907</v>
      </c>
      <c r="K295" s="28">
        <f t="shared" si="101"/>
        <v>34.36158209572117</v>
      </c>
      <c r="L295" s="28">
        <f t="shared" si="95"/>
        <v>94.93739429855907</v>
      </c>
      <c r="M295" s="28">
        <f t="shared" si="96"/>
        <v>129.29897639428023</v>
      </c>
      <c r="N295" s="29">
        <f t="shared" si="86"/>
        <v>6766.424875887301</v>
      </c>
      <c r="O295" s="29">
        <f t="shared" si="87"/>
        <v>380.56382879006196</v>
      </c>
      <c r="P295" s="29">
        <f t="shared" si="102"/>
        <v>12.433055856642799</v>
      </c>
    </row>
    <row r="296" spans="1:16" ht="11.25">
      <c r="A296" s="23"/>
      <c r="B296" s="15">
        <v>2</v>
      </c>
      <c r="C296" s="23">
        <f aca="true" t="shared" si="103" ref="C296:C310">$A$295*100+B296</f>
        <v>1902</v>
      </c>
      <c r="D296" s="24">
        <f>pol!D296</f>
        <v>14</v>
      </c>
      <c r="E296" s="25" t="str">
        <f>pol!E296</f>
        <v>10s</v>
      </c>
      <c r="F296" s="26">
        <f>pol!F296*25.4</f>
        <v>355.59999999999997</v>
      </c>
      <c r="G296" s="27">
        <f>pol!G296*25.4</f>
        <v>4.7752</v>
      </c>
      <c r="H296" s="25">
        <f aca="true" t="shared" si="104" ref="H296:H308">F296-2*G296</f>
        <v>346.04959999999994</v>
      </c>
      <c r="I296" s="27">
        <f aca="true" t="shared" si="105" ref="I296:I308">PI()*(F296^2-H296^2)/400</f>
        <v>52.6298006337358</v>
      </c>
      <c r="J296" s="28">
        <f aca="true" t="shared" si="106" ref="J296:J308">PI()*H296^2/400</f>
        <v>940.5168583973594</v>
      </c>
      <c r="K296" s="28">
        <f aca="true" t="shared" si="107" ref="K296:K308">0.785*I296</f>
        <v>41.314393497482605</v>
      </c>
      <c r="L296" s="28">
        <f t="shared" si="95"/>
        <v>94.05168583973595</v>
      </c>
      <c r="M296" s="28">
        <f t="shared" si="96"/>
        <v>135.36607933721857</v>
      </c>
      <c r="N296" s="29">
        <f t="shared" si="86"/>
        <v>8098.466019989972</v>
      </c>
      <c r="O296" s="29">
        <f t="shared" si="87"/>
        <v>455.4817784021357</v>
      </c>
      <c r="P296" s="29">
        <f aca="true" t="shared" si="108" ref="P296:P308">SQRT(N296/I296)</f>
        <v>12.404678695460055</v>
      </c>
    </row>
    <row r="297" spans="1:16" ht="11.25">
      <c r="A297" s="23"/>
      <c r="B297" s="15">
        <v>3</v>
      </c>
      <c r="C297" s="23">
        <f t="shared" si="103"/>
        <v>1903</v>
      </c>
      <c r="D297" s="24">
        <f>pol!D297</f>
        <v>14</v>
      </c>
      <c r="E297" s="25">
        <f>pol!E297</f>
        <v>10</v>
      </c>
      <c r="F297" s="26">
        <f>pol!F297*25.4</f>
        <v>355.59999999999997</v>
      </c>
      <c r="G297" s="27">
        <f>pol!G297*25.4</f>
        <v>6.35</v>
      </c>
      <c r="H297" s="25">
        <f t="shared" si="104"/>
        <v>342.9</v>
      </c>
      <c r="I297" s="27">
        <f t="shared" si="105"/>
        <v>69.6722783759058</v>
      </c>
      <c r="J297" s="28">
        <f t="shared" si="106"/>
        <v>923.4743806551896</v>
      </c>
      <c r="K297" s="28">
        <f t="shared" si="107"/>
        <v>54.69273852508606</v>
      </c>
      <c r="L297" s="28">
        <f t="shared" si="95"/>
        <v>92.34743806551897</v>
      </c>
      <c r="M297" s="28">
        <f t="shared" si="96"/>
        <v>147.04017659060503</v>
      </c>
      <c r="N297" s="29">
        <f t="shared" si="86"/>
        <v>10626.40588250314</v>
      </c>
      <c r="O297" s="29">
        <f t="shared" si="87"/>
        <v>597.6606233128877</v>
      </c>
      <c r="P297" s="29">
        <f t="shared" si="108"/>
        <v>12.349892965123223</v>
      </c>
    </row>
    <row r="298" spans="1:16" ht="11.25">
      <c r="A298" s="23"/>
      <c r="B298" s="15">
        <v>4</v>
      </c>
      <c r="C298" s="23">
        <f t="shared" si="103"/>
        <v>1904</v>
      </c>
      <c r="D298" s="24">
        <f>pol!D298</f>
        <v>14</v>
      </c>
      <c r="E298" s="25">
        <f>pol!E298</f>
        <v>20</v>
      </c>
      <c r="F298" s="26">
        <f>pol!F298*25.4</f>
        <v>355.59999999999997</v>
      </c>
      <c r="G298" s="27">
        <f>pol!G298*25.4</f>
        <v>7.924799999999999</v>
      </c>
      <c r="H298" s="25">
        <f t="shared" si="104"/>
        <v>339.75039999999996</v>
      </c>
      <c r="I298" s="27">
        <f t="shared" si="105"/>
        <v>86.55893343410413</v>
      </c>
      <c r="J298" s="28">
        <f t="shared" si="106"/>
        <v>906.5877255969913</v>
      </c>
      <c r="K298" s="28">
        <f t="shared" si="107"/>
        <v>67.94876274577175</v>
      </c>
      <c r="L298" s="28">
        <f t="shared" si="95"/>
        <v>90.65877255969913</v>
      </c>
      <c r="M298" s="28">
        <f t="shared" si="96"/>
        <v>158.6075353054709</v>
      </c>
      <c r="N298" s="29">
        <f t="shared" si="86"/>
        <v>13085.638422409933</v>
      </c>
      <c r="O298" s="29">
        <f t="shared" si="87"/>
        <v>735.9751643650131</v>
      </c>
      <c r="P298" s="29">
        <f t="shared" si="108"/>
        <v>12.295367377089638</v>
      </c>
    </row>
    <row r="299" spans="1:16" ht="11.25">
      <c r="A299" s="23"/>
      <c r="B299" s="15">
        <v>5</v>
      </c>
      <c r="C299" s="23">
        <f t="shared" si="103"/>
        <v>1905</v>
      </c>
      <c r="D299" s="24">
        <f>pol!D299</f>
        <v>14</v>
      </c>
      <c r="E299" s="25">
        <f>pol!E299</f>
        <v>30</v>
      </c>
      <c r="F299" s="26">
        <f>pol!F299*25.4</f>
        <v>355.59999999999997</v>
      </c>
      <c r="G299" s="27">
        <f>pol!G299*25.4</f>
        <v>9.524999999999999</v>
      </c>
      <c r="H299" s="25">
        <f t="shared" si="104"/>
        <v>336.54999999999995</v>
      </c>
      <c r="I299" s="27">
        <f t="shared" si="105"/>
        <v>103.55834104055113</v>
      </c>
      <c r="J299" s="28">
        <f t="shared" si="106"/>
        <v>889.5883179905442</v>
      </c>
      <c r="K299" s="28">
        <f t="shared" si="107"/>
        <v>81.29329771683264</v>
      </c>
      <c r="L299" s="28">
        <f t="shared" si="95"/>
        <v>88.95883179905442</v>
      </c>
      <c r="M299" s="28">
        <f t="shared" si="96"/>
        <v>170.25212951588708</v>
      </c>
      <c r="N299" s="29">
        <f t="shared" si="86"/>
        <v>15515.451264551448</v>
      </c>
      <c r="O299" s="29">
        <f t="shared" si="87"/>
        <v>872.6350542492379</v>
      </c>
      <c r="P299" s="29">
        <f t="shared" si="108"/>
        <v>12.240232394137784</v>
      </c>
    </row>
    <row r="300" spans="1:16" ht="11.25">
      <c r="A300" s="23"/>
      <c r="B300" s="15">
        <v>6</v>
      </c>
      <c r="C300" s="23">
        <f t="shared" si="103"/>
        <v>1906</v>
      </c>
      <c r="D300" s="24">
        <f>pol!D300</f>
        <v>14</v>
      </c>
      <c r="E300" s="25" t="str">
        <f>pol!E300</f>
        <v>STD</v>
      </c>
      <c r="F300" s="26">
        <f>pol!F300*25.4</f>
        <v>355.59999999999997</v>
      </c>
      <c r="G300" s="27">
        <f>pol!G300*25.4</f>
        <v>9.524999999999999</v>
      </c>
      <c r="H300" s="25">
        <f t="shared" si="104"/>
        <v>336.54999999999995</v>
      </c>
      <c r="I300" s="27">
        <f t="shared" si="105"/>
        <v>103.55834104055113</v>
      </c>
      <c r="J300" s="28">
        <f t="shared" si="106"/>
        <v>889.5883179905442</v>
      </c>
      <c r="K300" s="28">
        <f t="shared" si="107"/>
        <v>81.29329771683264</v>
      </c>
      <c r="L300" s="28">
        <f t="shared" si="95"/>
        <v>88.95883179905442</v>
      </c>
      <c r="M300" s="28">
        <f t="shared" si="96"/>
        <v>170.25212951588708</v>
      </c>
      <c r="N300" s="29">
        <f t="shared" si="86"/>
        <v>15515.451264551448</v>
      </c>
      <c r="O300" s="29">
        <f t="shared" si="87"/>
        <v>872.6350542492379</v>
      </c>
      <c r="P300" s="29">
        <f t="shared" si="108"/>
        <v>12.240232394137784</v>
      </c>
    </row>
    <row r="301" spans="1:16" ht="11.25">
      <c r="A301" s="23"/>
      <c r="B301" s="15">
        <v>7</v>
      </c>
      <c r="C301" s="23">
        <f t="shared" si="103"/>
        <v>1907</v>
      </c>
      <c r="D301" s="24">
        <f>pol!D301</f>
        <v>14</v>
      </c>
      <c r="E301" s="25">
        <f>pol!E301</f>
        <v>40</v>
      </c>
      <c r="F301" s="26">
        <f>pol!F301*25.4</f>
        <v>355.59999999999997</v>
      </c>
      <c r="G301" s="27">
        <f>pol!G301*25.4</f>
        <v>11.1252</v>
      </c>
      <c r="H301" s="25">
        <f t="shared" si="104"/>
        <v>333.34959999999995</v>
      </c>
      <c r="I301" s="27">
        <f t="shared" si="105"/>
        <v>120.39685888823502</v>
      </c>
      <c r="J301" s="28">
        <f t="shared" si="106"/>
        <v>872.7498001428603</v>
      </c>
      <c r="K301" s="28">
        <f t="shared" si="107"/>
        <v>94.51153422726449</v>
      </c>
      <c r="L301" s="28">
        <f t="shared" si="95"/>
        <v>87.27498001428603</v>
      </c>
      <c r="M301" s="28">
        <f t="shared" si="96"/>
        <v>181.78651424155052</v>
      </c>
      <c r="N301" s="29">
        <f t="shared" si="86"/>
        <v>17876.92561275618</v>
      </c>
      <c r="O301" s="29">
        <f t="shared" si="87"/>
        <v>1005.4513842944983</v>
      </c>
      <c r="P301" s="29">
        <f t="shared" si="108"/>
        <v>12.185373297014742</v>
      </c>
    </row>
    <row r="302" spans="1:16" ht="11.25">
      <c r="A302" s="23"/>
      <c r="B302" s="15">
        <v>8</v>
      </c>
      <c r="C302" s="23">
        <f t="shared" si="103"/>
        <v>1908</v>
      </c>
      <c r="D302" s="24">
        <f>pol!D302</f>
        <v>14</v>
      </c>
      <c r="E302" s="25" t="str">
        <f>pol!E302</f>
        <v>XS</v>
      </c>
      <c r="F302" s="26">
        <f>pol!F302*25.4</f>
        <v>355.59999999999997</v>
      </c>
      <c r="G302" s="27">
        <f>pol!G302*25.4</f>
        <v>12.7</v>
      </c>
      <c r="H302" s="25">
        <f t="shared" si="104"/>
        <v>330.2</v>
      </c>
      <c r="I302" s="27">
        <f t="shared" si="105"/>
        <v>136.8110193563242</v>
      </c>
      <c r="J302" s="27">
        <f t="shared" si="106"/>
        <v>856.3356396747711</v>
      </c>
      <c r="K302" s="28">
        <f t="shared" si="107"/>
        <v>107.39665019471451</v>
      </c>
      <c r="L302" s="28">
        <f t="shared" si="95"/>
        <v>85.63356396747712</v>
      </c>
      <c r="M302" s="28">
        <f t="shared" si="96"/>
        <v>193.0302141621916</v>
      </c>
      <c r="N302" s="29">
        <f t="shared" si="86"/>
        <v>20135.452497183163</v>
      </c>
      <c r="O302" s="29">
        <f t="shared" si="87"/>
        <v>1132.4776432611454</v>
      </c>
      <c r="P302" s="29">
        <f t="shared" si="108"/>
        <v>12.131657965834682</v>
      </c>
    </row>
    <row r="303" spans="1:16" ht="11.25">
      <c r="A303" s="23"/>
      <c r="B303" s="15">
        <v>9</v>
      </c>
      <c r="C303" s="23">
        <f t="shared" si="103"/>
        <v>1909</v>
      </c>
      <c r="D303" s="24">
        <f>pol!D303</f>
        <v>14</v>
      </c>
      <c r="E303" s="25">
        <f>pol!E303</f>
        <v>60</v>
      </c>
      <c r="F303" s="26">
        <f>pol!F303*25.4</f>
        <v>355.59999999999997</v>
      </c>
      <c r="G303" s="27">
        <f>pol!G303*25.4</f>
        <v>15.062199999999999</v>
      </c>
      <c r="H303" s="25">
        <f t="shared" si="104"/>
        <v>325.4756</v>
      </c>
      <c r="I303" s="27">
        <f t="shared" si="105"/>
        <v>161.14009252601062</v>
      </c>
      <c r="J303" s="27">
        <f t="shared" si="106"/>
        <v>832.0065665050847</v>
      </c>
      <c r="K303" s="28">
        <f t="shared" si="107"/>
        <v>126.49497263291835</v>
      </c>
      <c r="L303" s="28">
        <f t="shared" si="95"/>
        <v>83.20065665050848</v>
      </c>
      <c r="M303" s="28">
        <f t="shared" si="96"/>
        <v>209.69562928342683</v>
      </c>
      <c r="N303" s="29">
        <f t="shared" si="86"/>
        <v>23404.160888027815</v>
      </c>
      <c r="O303" s="29">
        <f t="shared" si="87"/>
        <v>1316.3195100128132</v>
      </c>
      <c r="P303" s="29">
        <f t="shared" si="108"/>
        <v>12.051600676760746</v>
      </c>
    </row>
    <row r="304" spans="1:16" ht="11.25">
      <c r="A304" s="23"/>
      <c r="B304" s="15">
        <v>10</v>
      </c>
      <c r="C304" s="23">
        <f t="shared" si="103"/>
        <v>1910</v>
      </c>
      <c r="D304" s="24">
        <f>pol!D304</f>
        <v>14</v>
      </c>
      <c r="E304" s="25">
        <f>pol!E304</f>
        <v>80</v>
      </c>
      <c r="F304" s="26">
        <f>pol!F304*25.4</f>
        <v>355.59999999999997</v>
      </c>
      <c r="G304" s="27">
        <f>pol!G304*25.4</f>
        <v>19.049999999999997</v>
      </c>
      <c r="H304" s="25">
        <f t="shared" si="104"/>
        <v>317.5</v>
      </c>
      <c r="I304" s="27">
        <f t="shared" si="105"/>
        <v>201.4162229412551</v>
      </c>
      <c r="J304" s="27">
        <f t="shared" si="106"/>
        <v>791.7304360898402</v>
      </c>
      <c r="K304" s="28">
        <f t="shared" si="107"/>
        <v>158.11173500888526</v>
      </c>
      <c r="L304" s="28">
        <f t="shared" si="95"/>
        <v>79.17304360898402</v>
      </c>
      <c r="M304" s="28">
        <f t="shared" si="96"/>
        <v>237.28477861786928</v>
      </c>
      <c r="N304" s="29">
        <f t="shared" si="86"/>
        <v>28608.355900535505</v>
      </c>
      <c r="O304" s="29">
        <f t="shared" si="87"/>
        <v>1609.018892043617</v>
      </c>
      <c r="P304" s="29">
        <f t="shared" si="108"/>
        <v>11.917885980743398</v>
      </c>
    </row>
    <row r="305" spans="1:16" ht="11.25">
      <c r="A305" s="23"/>
      <c r="B305" s="15">
        <v>11</v>
      </c>
      <c r="C305" s="23">
        <f t="shared" si="103"/>
        <v>1911</v>
      </c>
      <c r="D305" s="24">
        <f>pol!D305</f>
        <v>14</v>
      </c>
      <c r="E305" s="25">
        <f>pol!E305</f>
        <v>100</v>
      </c>
      <c r="F305" s="26">
        <f>pol!F305*25.4</f>
        <v>355.59999999999997</v>
      </c>
      <c r="G305" s="27">
        <f>pol!G305*25.4</f>
        <v>23.7998</v>
      </c>
      <c r="H305" s="25">
        <f t="shared" si="104"/>
        <v>308.00039999999996</v>
      </c>
      <c r="I305" s="27">
        <f t="shared" si="105"/>
        <v>248.08461008340896</v>
      </c>
      <c r="J305" s="27">
        <f t="shared" si="106"/>
        <v>745.0620489476864</v>
      </c>
      <c r="K305" s="28">
        <f t="shared" si="107"/>
        <v>194.74641891547606</v>
      </c>
      <c r="L305" s="28">
        <f t="shared" si="95"/>
        <v>74.50620489476864</v>
      </c>
      <c r="M305" s="28">
        <f t="shared" si="96"/>
        <v>269.2526238102447</v>
      </c>
      <c r="N305" s="29">
        <f>PI()*(($F305/10)^4-($H305/10)^4)/64</f>
        <v>34315.62244947306</v>
      </c>
      <c r="O305" s="29">
        <f>PI()*(($F305/10)^4-($H305/10)^4)/(32*($F305/10))</f>
        <v>1930.0125112189578</v>
      </c>
      <c r="P305" s="29">
        <f t="shared" si="108"/>
        <v>11.761048167578432</v>
      </c>
    </row>
    <row r="306" spans="1:16" ht="11.25">
      <c r="A306" s="23"/>
      <c r="B306" s="15">
        <v>12</v>
      </c>
      <c r="C306" s="23">
        <f t="shared" si="103"/>
        <v>1912</v>
      </c>
      <c r="D306" s="24">
        <f>pol!D306</f>
        <v>14</v>
      </c>
      <c r="E306" s="25">
        <f>pol!E306</f>
        <v>120</v>
      </c>
      <c r="F306" s="26">
        <f>pol!F306*25.4</f>
        <v>355.59999999999997</v>
      </c>
      <c r="G306" s="27">
        <f>pol!G306*25.4</f>
        <v>27.762199999999996</v>
      </c>
      <c r="H306" s="25">
        <f t="shared" si="104"/>
        <v>300.07559999999995</v>
      </c>
      <c r="I306" s="27">
        <f t="shared" si="105"/>
        <v>285.9320104781425</v>
      </c>
      <c r="J306" s="27">
        <f t="shared" si="106"/>
        <v>707.2146485529529</v>
      </c>
      <c r="K306" s="28">
        <f t="shared" si="107"/>
        <v>224.45662822534186</v>
      </c>
      <c r="L306" s="28">
        <f t="shared" si="95"/>
        <v>70.7214648552953</v>
      </c>
      <c r="M306" s="28">
        <f t="shared" si="96"/>
        <v>295.17809308063715</v>
      </c>
      <c r="N306" s="29">
        <f>PI()*(($F306/10)^4-($H306/10)^4)/64</f>
        <v>38689.590028579914</v>
      </c>
      <c r="O306" s="29">
        <f>PI()*(($F306/10)^4-($H306/10)^4)/(32*($F306/10))</f>
        <v>2176.0174369280044</v>
      </c>
      <c r="P306" s="29">
        <f t="shared" si="108"/>
        <v>11.632302161313556</v>
      </c>
    </row>
    <row r="307" spans="1:16" ht="11.25">
      <c r="A307" s="23"/>
      <c r="B307" s="15">
        <v>13</v>
      </c>
      <c r="C307" s="23">
        <f t="shared" si="103"/>
        <v>1913</v>
      </c>
      <c r="D307" s="24">
        <f>pol!D307</f>
        <v>14</v>
      </c>
      <c r="E307" s="25">
        <f>pol!E307</f>
        <v>140</v>
      </c>
      <c r="F307" s="26">
        <f>pol!F307*25.4</f>
        <v>355.59999999999997</v>
      </c>
      <c r="G307" s="27">
        <f>pol!G307*25.4</f>
        <v>31.75</v>
      </c>
      <c r="H307" s="25">
        <f t="shared" si="104"/>
        <v>292.09999999999997</v>
      </c>
      <c r="I307" s="27">
        <f t="shared" si="105"/>
        <v>323.02601792465475</v>
      </c>
      <c r="J307" s="27">
        <f t="shared" si="106"/>
        <v>670.1206411064406</v>
      </c>
      <c r="K307" s="28">
        <f t="shared" si="107"/>
        <v>253.57542407085398</v>
      </c>
      <c r="L307" s="28">
        <f t="shared" si="95"/>
        <v>67.01206411064406</v>
      </c>
      <c r="M307" s="28">
        <f t="shared" si="96"/>
        <v>320.58748818149803</v>
      </c>
      <c r="N307" s="29">
        <f>PI()*(($F307/10)^4-($H307/10)^4)/64</f>
        <v>42755.27351499481</v>
      </c>
      <c r="O307" s="29">
        <f>PI()*(($F307/10)^4-($H307/10)^4)/(32*($F307/10))</f>
        <v>2404.6835497747365</v>
      </c>
      <c r="P307" s="29">
        <f t="shared" si="108"/>
        <v>11.504721041815833</v>
      </c>
    </row>
    <row r="308" spans="1:16" ht="11.25">
      <c r="A308" s="23"/>
      <c r="B308" s="15">
        <v>14</v>
      </c>
      <c r="C308" s="23">
        <f t="shared" si="103"/>
        <v>1914</v>
      </c>
      <c r="D308" s="24">
        <f>pol!D308</f>
        <v>14</v>
      </c>
      <c r="E308" s="25">
        <f>pol!E308</f>
        <v>160</v>
      </c>
      <c r="F308" s="26">
        <f>pol!F308*25.4</f>
        <v>355.59999999999997</v>
      </c>
      <c r="G308" s="27">
        <f>pol!G308*25.4</f>
        <v>35.712399999999995</v>
      </c>
      <c r="H308" s="25">
        <f t="shared" si="104"/>
        <v>284.17519999999996</v>
      </c>
      <c r="I308" s="27">
        <f t="shared" si="105"/>
        <v>358.89409729623856</v>
      </c>
      <c r="J308" s="27">
        <f t="shared" si="106"/>
        <v>634.2525617348568</v>
      </c>
      <c r="K308" s="28">
        <f t="shared" si="107"/>
        <v>281.7318663775473</v>
      </c>
      <c r="L308" s="28">
        <f t="shared" si="95"/>
        <v>63.425256173485685</v>
      </c>
      <c r="M308" s="28">
        <f t="shared" si="96"/>
        <v>345.157122551033</v>
      </c>
      <c r="N308" s="29">
        <f>PI()*(($F308/10)^4-($H308/10)^4)/64</f>
        <v>46478.33429407279</v>
      </c>
      <c r="O308" s="29">
        <f>PI()*(($F308/10)^4-($H308/10)^4)/(32*($F308/10))</f>
        <v>2614.0795440985826</v>
      </c>
      <c r="P308" s="29">
        <f t="shared" si="108"/>
        <v>11.379996273479179</v>
      </c>
    </row>
    <row r="309" spans="1:16" ht="11.25" customHeight="1" hidden="1">
      <c r="A309" s="23"/>
      <c r="B309" s="15">
        <v>15</v>
      </c>
      <c r="C309" s="23">
        <f t="shared" si="103"/>
        <v>1915</v>
      </c>
      <c r="D309" s="24"/>
      <c r="E309" s="25"/>
      <c r="F309" s="26"/>
      <c r="G309" s="27"/>
      <c r="H309" s="25"/>
      <c r="I309" s="27"/>
      <c r="J309" s="27"/>
      <c r="K309" s="28"/>
      <c r="L309" s="28"/>
      <c r="M309" s="28"/>
      <c r="N309" s="29"/>
      <c r="O309" s="29"/>
      <c r="P309" s="29"/>
    </row>
    <row r="310" spans="1:16" ht="11.25" customHeight="1" hidden="1">
      <c r="A310" s="23"/>
      <c r="B310" s="15">
        <v>16</v>
      </c>
      <c r="C310" s="23">
        <f t="shared" si="103"/>
        <v>1916</v>
      </c>
      <c r="D310" s="24"/>
      <c r="E310" s="25"/>
      <c r="F310" s="26"/>
      <c r="G310" s="27"/>
      <c r="H310" s="25"/>
      <c r="I310" s="27"/>
      <c r="J310" s="27"/>
      <c r="K310" s="28"/>
      <c r="L310" s="28"/>
      <c r="M310" s="28"/>
      <c r="N310" s="29"/>
      <c r="O310" s="29"/>
      <c r="P310" s="29"/>
    </row>
    <row r="311" spans="1:16" ht="11.25">
      <c r="A311" s="23">
        <v>20</v>
      </c>
      <c r="B311" s="15">
        <v>1</v>
      </c>
      <c r="C311" s="23">
        <f>$A$311*100+B311</f>
        <v>2001</v>
      </c>
      <c r="D311" s="24">
        <f>pol!D311</f>
        <v>16</v>
      </c>
      <c r="E311" s="25" t="str">
        <f>pol!E311</f>
        <v>5s</v>
      </c>
      <c r="F311" s="26">
        <f>pol!F311*25.4</f>
        <v>406.4</v>
      </c>
      <c r="G311" s="27">
        <f>pol!G311*25.4</f>
        <v>4.2926</v>
      </c>
      <c r="H311" s="25">
        <f aca="true" t="shared" si="109" ref="H311:H336">F311-2*G311</f>
        <v>397.8148</v>
      </c>
      <c r="I311" s="27">
        <f aca="true" t="shared" si="110" ref="I311:I336">PI()*(F311^2-H311^2)/400</f>
        <v>54.226598046765105</v>
      </c>
      <c r="J311" s="27">
        <f aca="true" t="shared" si="111" ref="J311:J336">PI()*H311^2/400</f>
        <v>1242.944548442829</v>
      </c>
      <c r="K311" s="28">
        <f aca="true" t="shared" si="112" ref="K311:K336">0.785*I311</f>
        <v>42.56787946671061</v>
      </c>
      <c r="L311" s="28">
        <f t="shared" si="95"/>
        <v>124.29445484428291</v>
      </c>
      <c r="M311" s="28">
        <f t="shared" si="96"/>
        <v>166.8623343109935</v>
      </c>
      <c r="N311" s="29">
        <f aca="true" t="shared" si="113" ref="N311:N410">PI()*(($F311/10)^4-($H311/10)^4)/64</f>
        <v>10961.146778846954</v>
      </c>
      <c r="O311" s="29">
        <f aca="true" t="shared" si="114" ref="O311:O410">PI()*(($F311/10)^4-($H311/10)^4)/(32*($F311/10))</f>
        <v>539.4265147070352</v>
      </c>
      <c r="P311" s="29">
        <f aca="true" t="shared" si="115" ref="P311:P336">SQRT(N311/I311)</f>
        <v>14.2174535144976</v>
      </c>
    </row>
    <row r="312" spans="1:16" ht="11.25">
      <c r="A312" s="23"/>
      <c r="B312" s="15">
        <v>2</v>
      </c>
      <c r="C312" s="23">
        <f aca="true" t="shared" si="116" ref="C312:C326">$A$311*100+B312</f>
        <v>2002</v>
      </c>
      <c r="D312" s="24">
        <f>pol!D312</f>
        <v>16</v>
      </c>
      <c r="E312" s="25" t="str">
        <f>pol!E312</f>
        <v>10s</v>
      </c>
      <c r="F312" s="26">
        <f>pol!F312*25.4</f>
        <v>406.4</v>
      </c>
      <c r="G312" s="27">
        <f>pol!G312*25.4</f>
        <v>4.7752</v>
      </c>
      <c r="H312" s="25">
        <f t="shared" si="109"/>
        <v>396.84959999999995</v>
      </c>
      <c r="I312" s="27">
        <f t="shared" si="110"/>
        <v>60.250681119362206</v>
      </c>
      <c r="J312" s="27">
        <f t="shared" si="111"/>
        <v>1236.920465370232</v>
      </c>
      <c r="K312" s="28">
        <f t="shared" si="112"/>
        <v>47.29678467869933</v>
      </c>
      <c r="L312" s="28">
        <f t="shared" si="95"/>
        <v>123.6920465370232</v>
      </c>
      <c r="M312" s="28">
        <f t="shared" si="96"/>
        <v>170.98883121572254</v>
      </c>
      <c r="N312" s="29">
        <f t="shared" si="113"/>
        <v>12149.947691257308</v>
      </c>
      <c r="O312" s="29">
        <f t="shared" si="114"/>
        <v>597.9304966169935</v>
      </c>
      <c r="P312" s="29">
        <f t="shared" si="115"/>
        <v>14.200584605487196</v>
      </c>
    </row>
    <row r="313" spans="1:16" ht="11.25">
      <c r="A313" s="23"/>
      <c r="B313" s="15">
        <v>3</v>
      </c>
      <c r="C313" s="23">
        <f t="shared" si="116"/>
        <v>2003</v>
      </c>
      <c r="D313" s="24">
        <f>pol!D313</f>
        <v>16</v>
      </c>
      <c r="E313" s="25">
        <f>pol!E313</f>
        <v>10</v>
      </c>
      <c r="F313" s="26">
        <f>pol!F313*25.4</f>
        <v>406.4</v>
      </c>
      <c r="G313" s="27">
        <f>pol!G313*25.4</f>
        <v>6.35</v>
      </c>
      <c r="H313" s="25">
        <f t="shared" si="109"/>
        <v>393.7</v>
      </c>
      <c r="I313" s="27">
        <f t="shared" si="110"/>
        <v>79.80642795785582</v>
      </c>
      <c r="J313" s="27">
        <f t="shared" si="111"/>
        <v>1217.3647185317384</v>
      </c>
      <c r="K313" s="28">
        <f t="shared" si="112"/>
        <v>62.64804594691682</v>
      </c>
      <c r="L313" s="28">
        <f t="shared" si="95"/>
        <v>121.73647185317384</v>
      </c>
      <c r="M313" s="28">
        <f t="shared" si="96"/>
        <v>184.38451780009066</v>
      </c>
      <c r="N313" s="29">
        <f t="shared" si="113"/>
        <v>15969.29865572834</v>
      </c>
      <c r="O313" s="29">
        <f t="shared" si="114"/>
        <v>785.8906818763946</v>
      </c>
      <c r="P313" s="29">
        <f t="shared" si="115"/>
        <v>14.145685075315384</v>
      </c>
    </row>
    <row r="314" spans="1:16" ht="11.25">
      <c r="A314" s="23"/>
      <c r="B314" s="15">
        <v>4</v>
      </c>
      <c r="C314" s="23">
        <f t="shared" si="116"/>
        <v>2004</v>
      </c>
      <c r="D314" s="24">
        <f>pol!D314</f>
        <v>16</v>
      </c>
      <c r="E314" s="25">
        <f>pol!E314</f>
        <v>20</v>
      </c>
      <c r="F314" s="26">
        <f>pol!F314*25.4</f>
        <v>406.4</v>
      </c>
      <c r="G314" s="27">
        <f>pol!G314*25.4</f>
        <v>7.924799999999999</v>
      </c>
      <c r="H314" s="25">
        <f t="shared" si="109"/>
        <v>390.55039999999997</v>
      </c>
      <c r="I314" s="27">
        <f t="shared" si="110"/>
        <v>99.20635211237773</v>
      </c>
      <c r="J314" s="27">
        <f t="shared" si="111"/>
        <v>1197.9647943772165</v>
      </c>
      <c r="K314" s="28">
        <f t="shared" si="112"/>
        <v>77.87698640821652</v>
      </c>
      <c r="L314" s="28">
        <f t="shared" si="95"/>
        <v>119.79647943772166</v>
      </c>
      <c r="M314" s="28">
        <f t="shared" si="96"/>
        <v>197.67346584593818</v>
      </c>
      <c r="N314" s="29">
        <f t="shared" si="113"/>
        <v>19698.07690018578</v>
      </c>
      <c r="O314" s="29">
        <f t="shared" si="114"/>
        <v>969.3935482374892</v>
      </c>
      <c r="P314" s="29">
        <f t="shared" si="115"/>
        <v>14.091011650609053</v>
      </c>
    </row>
    <row r="315" spans="1:16" ht="11.25">
      <c r="A315" s="23"/>
      <c r="B315" s="15">
        <v>5</v>
      </c>
      <c r="C315" s="23">
        <f t="shared" si="116"/>
        <v>2005</v>
      </c>
      <c r="D315" s="24">
        <f>pol!D315</f>
        <v>16</v>
      </c>
      <c r="E315" s="25">
        <f>pol!E315</f>
        <v>30</v>
      </c>
      <c r="F315" s="26">
        <f>pol!F315*25.4</f>
        <v>406.4</v>
      </c>
      <c r="G315" s="27">
        <f>pol!G315*25.4</f>
        <v>9.524999999999999</v>
      </c>
      <c r="H315" s="25">
        <f t="shared" si="109"/>
        <v>387.34999999999997</v>
      </c>
      <c r="I315" s="27">
        <f t="shared" si="110"/>
        <v>118.75956541347627</v>
      </c>
      <c r="J315" s="27">
        <f t="shared" si="111"/>
        <v>1178.411581076118</v>
      </c>
      <c r="K315" s="28">
        <f t="shared" si="112"/>
        <v>93.22625884957887</v>
      </c>
      <c r="L315" s="28">
        <f t="shared" si="95"/>
        <v>117.8411581076118</v>
      </c>
      <c r="M315" s="28">
        <f t="shared" si="96"/>
        <v>211.0674169571907</v>
      </c>
      <c r="N315" s="29">
        <f t="shared" si="113"/>
        <v>23395.707312250426</v>
      </c>
      <c r="O315" s="29">
        <f t="shared" si="114"/>
        <v>1151.3635488312218</v>
      </c>
      <c r="P315" s="29">
        <f t="shared" si="115"/>
        <v>14.035690722671958</v>
      </c>
    </row>
    <row r="316" spans="1:16" ht="11.25">
      <c r="A316" s="23"/>
      <c r="B316" s="15">
        <v>6</v>
      </c>
      <c r="C316" s="23">
        <f t="shared" si="116"/>
        <v>2006</v>
      </c>
      <c r="D316" s="24">
        <f>pol!D316</f>
        <v>16</v>
      </c>
      <c r="E316" s="25" t="str">
        <f>pol!E316</f>
        <v>STD</v>
      </c>
      <c r="F316" s="26">
        <f>pol!F316*25.4</f>
        <v>406.4</v>
      </c>
      <c r="G316" s="27">
        <f>pol!G316*25.4</f>
        <v>9.524999999999999</v>
      </c>
      <c r="H316" s="25">
        <f t="shared" si="109"/>
        <v>387.34999999999997</v>
      </c>
      <c r="I316" s="27">
        <f t="shared" si="110"/>
        <v>118.75956541347627</v>
      </c>
      <c r="J316" s="27">
        <f t="shared" si="111"/>
        <v>1178.411581076118</v>
      </c>
      <c r="K316" s="28">
        <f t="shared" si="112"/>
        <v>93.22625884957887</v>
      </c>
      <c r="L316" s="28">
        <f t="shared" si="95"/>
        <v>117.8411581076118</v>
      </c>
      <c r="M316" s="28">
        <f t="shared" si="96"/>
        <v>211.0674169571907</v>
      </c>
      <c r="N316" s="29">
        <f t="shared" si="113"/>
        <v>23395.707312250426</v>
      </c>
      <c r="O316" s="29">
        <f t="shared" si="114"/>
        <v>1151.3635488312218</v>
      </c>
      <c r="P316" s="29">
        <f t="shared" si="115"/>
        <v>14.035690722671958</v>
      </c>
    </row>
    <row r="317" spans="1:16" ht="11.25">
      <c r="A317" s="23"/>
      <c r="B317" s="15">
        <v>7</v>
      </c>
      <c r="C317" s="23">
        <f t="shared" si="116"/>
        <v>2007</v>
      </c>
      <c r="D317" s="24">
        <f>pol!D317</f>
        <v>16</v>
      </c>
      <c r="E317" s="25">
        <f>pol!E317</f>
        <v>40</v>
      </c>
      <c r="F317" s="26">
        <f>pol!F317*25.4</f>
        <v>406.4</v>
      </c>
      <c r="G317" s="27">
        <f>pol!G317*25.4</f>
        <v>12.7</v>
      </c>
      <c r="H317" s="25">
        <f t="shared" si="109"/>
        <v>381</v>
      </c>
      <c r="I317" s="27">
        <f t="shared" si="110"/>
        <v>157.07931852022423</v>
      </c>
      <c r="J317" s="27">
        <f t="shared" si="111"/>
        <v>1140.09182796937</v>
      </c>
      <c r="K317" s="28">
        <f t="shared" si="112"/>
        <v>123.30726503837603</v>
      </c>
      <c r="L317" s="28">
        <f t="shared" si="95"/>
        <v>114.009182796937</v>
      </c>
      <c r="M317" s="28">
        <f t="shared" si="96"/>
        <v>237.31644783531303</v>
      </c>
      <c r="N317" s="29">
        <f t="shared" si="113"/>
        <v>30465.72624916266</v>
      </c>
      <c r="O317" s="29">
        <f t="shared" si="114"/>
        <v>1499.2975516320207</v>
      </c>
      <c r="P317" s="29">
        <f t="shared" si="115"/>
        <v>13.926637246657927</v>
      </c>
    </row>
    <row r="318" spans="1:16" ht="11.25">
      <c r="A318" s="23"/>
      <c r="B318" s="15">
        <v>8</v>
      </c>
      <c r="C318" s="23">
        <f t="shared" si="116"/>
        <v>2008</v>
      </c>
      <c r="D318" s="24">
        <f>pol!D318</f>
        <v>16</v>
      </c>
      <c r="E318" s="25" t="str">
        <f>pol!E318</f>
        <v>XS</v>
      </c>
      <c r="F318" s="26">
        <f>pol!F318*25.4</f>
        <v>406.4</v>
      </c>
      <c r="G318" s="27">
        <f>pol!G318*25.4</f>
        <v>12.7</v>
      </c>
      <c r="H318" s="25">
        <f t="shared" si="109"/>
        <v>381</v>
      </c>
      <c r="I318" s="27">
        <f t="shared" si="110"/>
        <v>157.07931852022423</v>
      </c>
      <c r="J318" s="27">
        <f t="shared" si="111"/>
        <v>1140.09182796937</v>
      </c>
      <c r="K318" s="28">
        <f t="shared" si="112"/>
        <v>123.30726503837603</v>
      </c>
      <c r="L318" s="28">
        <f t="shared" si="95"/>
        <v>114.009182796937</v>
      </c>
      <c r="M318" s="28">
        <f t="shared" si="96"/>
        <v>237.31644783531303</v>
      </c>
      <c r="N318" s="29">
        <f t="shared" si="113"/>
        <v>30465.72624916266</v>
      </c>
      <c r="O318" s="29">
        <f t="shared" si="114"/>
        <v>1499.2975516320207</v>
      </c>
      <c r="P318" s="29">
        <f t="shared" si="115"/>
        <v>13.926637246657927</v>
      </c>
    </row>
    <row r="319" spans="1:16" ht="11.25">
      <c r="A319" s="23"/>
      <c r="B319" s="15">
        <v>9</v>
      </c>
      <c r="C319" s="23">
        <f t="shared" si="116"/>
        <v>2009</v>
      </c>
      <c r="D319" s="24">
        <f>pol!D319</f>
        <v>16</v>
      </c>
      <c r="E319" s="25">
        <f>pol!E319</f>
        <v>60</v>
      </c>
      <c r="F319" s="26">
        <f>pol!F319*25.4</f>
        <v>406.4</v>
      </c>
      <c r="G319" s="27">
        <f>pol!G319*25.4</f>
        <v>16.662399999999998</v>
      </c>
      <c r="H319" s="25">
        <f t="shared" si="109"/>
        <v>373.0752</v>
      </c>
      <c r="I319" s="27">
        <f t="shared" si="110"/>
        <v>204.01388923529737</v>
      </c>
      <c r="J319" s="27">
        <f t="shared" si="111"/>
        <v>1093.1572572542968</v>
      </c>
      <c r="K319" s="28">
        <f t="shared" si="112"/>
        <v>160.15090304970843</v>
      </c>
      <c r="L319" s="28">
        <f t="shared" si="95"/>
        <v>109.31572572542969</v>
      </c>
      <c r="M319" s="28">
        <f t="shared" si="96"/>
        <v>269.46662877513813</v>
      </c>
      <c r="N319" s="29">
        <f t="shared" si="113"/>
        <v>38806.76522783426</v>
      </c>
      <c r="O319" s="29">
        <f t="shared" si="114"/>
        <v>1909.7817533383</v>
      </c>
      <c r="P319" s="29">
        <f t="shared" si="115"/>
        <v>13.791892202826999</v>
      </c>
    </row>
    <row r="320" spans="1:16" ht="11.25">
      <c r="A320" s="23"/>
      <c r="B320" s="15">
        <v>10</v>
      </c>
      <c r="C320" s="23">
        <f t="shared" si="116"/>
        <v>2010</v>
      </c>
      <c r="D320" s="24">
        <f>pol!D320</f>
        <v>16</v>
      </c>
      <c r="E320" s="25">
        <f>pol!E320</f>
        <v>80</v>
      </c>
      <c r="F320" s="26">
        <f>pol!F320*25.4</f>
        <v>406.4</v>
      </c>
      <c r="G320" s="27">
        <f>pol!G320*25.4</f>
        <v>21.4122</v>
      </c>
      <c r="H320" s="25">
        <f t="shared" si="109"/>
        <v>363.5756</v>
      </c>
      <c r="I320" s="27">
        <f t="shared" si="110"/>
        <v>258.9751725901555</v>
      </c>
      <c r="J320" s="27">
        <f t="shared" si="111"/>
        <v>1038.1959738994387</v>
      </c>
      <c r="K320" s="28">
        <f t="shared" si="112"/>
        <v>203.2955104832721</v>
      </c>
      <c r="L320" s="28">
        <f t="shared" si="95"/>
        <v>103.81959738994388</v>
      </c>
      <c r="M320" s="28">
        <f t="shared" si="96"/>
        <v>307.11510787321595</v>
      </c>
      <c r="N320" s="29">
        <f t="shared" si="113"/>
        <v>48128.622147514674</v>
      </c>
      <c r="O320" s="29">
        <f t="shared" si="114"/>
        <v>2368.534554503675</v>
      </c>
      <c r="P320" s="29">
        <f t="shared" si="115"/>
        <v>13.63241029943348</v>
      </c>
    </row>
    <row r="321" spans="1:16" ht="11.25">
      <c r="A321" s="23"/>
      <c r="B321" s="15">
        <v>11</v>
      </c>
      <c r="C321" s="23">
        <f t="shared" si="116"/>
        <v>2011</v>
      </c>
      <c r="D321" s="24">
        <f>pol!D321</f>
        <v>16</v>
      </c>
      <c r="E321" s="25">
        <f>pol!E321</f>
        <v>100</v>
      </c>
      <c r="F321" s="26">
        <f>pol!F321*25.4</f>
        <v>406.4</v>
      </c>
      <c r="G321" s="27">
        <f>pol!G321*25.4</f>
        <v>26.187399999999997</v>
      </c>
      <c r="H321" s="25">
        <f t="shared" si="109"/>
        <v>354.0252</v>
      </c>
      <c r="I321" s="27">
        <f t="shared" si="110"/>
        <v>312.80145146013473</v>
      </c>
      <c r="J321" s="27">
        <f t="shared" si="111"/>
        <v>984.3696950294594</v>
      </c>
      <c r="K321" s="28">
        <f t="shared" si="112"/>
        <v>245.54913939620576</v>
      </c>
      <c r="L321" s="28">
        <f t="shared" si="95"/>
        <v>98.43696950294594</v>
      </c>
      <c r="M321" s="28">
        <f t="shared" si="96"/>
        <v>343.9861088991517</v>
      </c>
      <c r="N321" s="29">
        <f t="shared" si="113"/>
        <v>56791.997362965834</v>
      </c>
      <c r="O321" s="29">
        <f t="shared" si="114"/>
        <v>2794.881759988476</v>
      </c>
      <c r="P321" s="29">
        <f t="shared" si="115"/>
        <v>13.474392431456792</v>
      </c>
    </row>
    <row r="322" spans="1:16" ht="11.25">
      <c r="A322" s="23"/>
      <c r="B322" s="15">
        <v>12</v>
      </c>
      <c r="C322" s="23">
        <f t="shared" si="116"/>
        <v>2012</v>
      </c>
      <c r="D322" s="24">
        <f>pol!D322</f>
        <v>16</v>
      </c>
      <c r="E322" s="25">
        <f>pol!E322</f>
        <v>120</v>
      </c>
      <c r="F322" s="26">
        <f>pol!F322*25.4</f>
        <v>406.4</v>
      </c>
      <c r="G322" s="27">
        <f>pol!G322*25.4</f>
        <v>30.937199999999997</v>
      </c>
      <c r="H322" s="25">
        <f t="shared" si="109"/>
        <v>344.5256</v>
      </c>
      <c r="I322" s="27">
        <f t="shared" si="110"/>
        <v>364.920105857256</v>
      </c>
      <c r="J322" s="27">
        <f t="shared" si="111"/>
        <v>932.2510406323381</v>
      </c>
      <c r="K322" s="28">
        <f t="shared" si="112"/>
        <v>286.46228309794594</v>
      </c>
      <c r="L322" s="28">
        <f t="shared" si="95"/>
        <v>93.22510406323381</v>
      </c>
      <c r="M322" s="28">
        <f t="shared" si="96"/>
        <v>379.68738716117974</v>
      </c>
      <c r="N322" s="29">
        <f t="shared" si="113"/>
        <v>64741.125778625516</v>
      </c>
      <c r="O322" s="29">
        <f t="shared" si="114"/>
        <v>3186.079024538657</v>
      </c>
      <c r="P322" s="29">
        <f t="shared" si="115"/>
        <v>13.31960137014618</v>
      </c>
    </row>
    <row r="323" spans="1:16" ht="11.25">
      <c r="A323" s="23"/>
      <c r="B323" s="15">
        <v>13</v>
      </c>
      <c r="C323" s="23">
        <f t="shared" si="116"/>
        <v>2013</v>
      </c>
      <c r="D323" s="24">
        <f>pol!D323</f>
        <v>16</v>
      </c>
      <c r="E323" s="25">
        <f>pol!E323</f>
        <v>140</v>
      </c>
      <c r="F323" s="26">
        <f>pol!F323*25.4</f>
        <v>406.4</v>
      </c>
      <c r="G323" s="27">
        <f>pol!G323*25.4</f>
        <v>36.5252</v>
      </c>
      <c r="H323" s="25">
        <f t="shared" si="109"/>
        <v>333.3496</v>
      </c>
      <c r="I323" s="27">
        <f t="shared" si="110"/>
        <v>424.4213463467336</v>
      </c>
      <c r="J323" s="27">
        <f t="shared" si="111"/>
        <v>872.7498001428605</v>
      </c>
      <c r="K323" s="28">
        <f t="shared" si="112"/>
        <v>333.1707568821859</v>
      </c>
      <c r="L323" s="28">
        <f t="shared" si="95"/>
        <v>87.27498001428606</v>
      </c>
      <c r="M323" s="28">
        <f t="shared" si="96"/>
        <v>420.445736896472</v>
      </c>
      <c r="N323" s="29">
        <f t="shared" si="113"/>
        <v>73287.72944062097</v>
      </c>
      <c r="O323" s="29">
        <f t="shared" si="114"/>
        <v>3606.679598455756</v>
      </c>
      <c r="P323" s="29">
        <f t="shared" si="115"/>
        <v>13.14065532565252</v>
      </c>
    </row>
    <row r="324" spans="1:16" ht="11.25">
      <c r="A324" s="23"/>
      <c r="B324" s="15">
        <v>14</v>
      </c>
      <c r="C324" s="23">
        <f t="shared" si="116"/>
        <v>2014</v>
      </c>
      <c r="D324" s="24">
        <f>pol!D324</f>
        <v>16</v>
      </c>
      <c r="E324" s="25">
        <f>pol!E324</f>
        <v>160</v>
      </c>
      <c r="F324" s="26">
        <f>pol!F324*25.4</f>
        <v>406.4</v>
      </c>
      <c r="G324" s="27">
        <f>pol!G324*25.4</f>
        <v>40.462199999999996</v>
      </c>
      <c r="H324" s="25">
        <f t="shared" si="109"/>
        <v>325.4756</v>
      </c>
      <c r="I324" s="27">
        <f t="shared" si="110"/>
        <v>465.1645799845094</v>
      </c>
      <c r="J324" s="27">
        <f t="shared" si="111"/>
        <v>832.0065665050847</v>
      </c>
      <c r="K324" s="28">
        <f t="shared" si="112"/>
        <v>365.15419528783985</v>
      </c>
      <c r="L324" s="28">
        <f t="shared" si="95"/>
        <v>83.20065665050848</v>
      </c>
      <c r="M324" s="28">
        <f t="shared" si="96"/>
        <v>448.35485193834836</v>
      </c>
      <c r="N324" s="29">
        <f t="shared" si="113"/>
        <v>78814.96471589265</v>
      </c>
      <c r="O324" s="29">
        <f t="shared" si="114"/>
        <v>3878.689208459284</v>
      </c>
      <c r="P324" s="29">
        <f t="shared" si="115"/>
        <v>13.016703840531214</v>
      </c>
    </row>
    <row r="325" spans="1:16" ht="11.25" customHeight="1" hidden="1">
      <c r="A325" s="23"/>
      <c r="B325" s="15">
        <v>15</v>
      </c>
      <c r="C325" s="23">
        <f t="shared" si="116"/>
        <v>2015</v>
      </c>
      <c r="D325" s="24"/>
      <c r="E325" s="25"/>
      <c r="F325" s="26"/>
      <c r="G325" s="27"/>
      <c r="H325" s="25"/>
      <c r="I325" s="27"/>
      <c r="J325" s="27"/>
      <c r="K325" s="28"/>
      <c r="L325" s="28"/>
      <c r="M325" s="28"/>
      <c r="N325" s="29"/>
      <c r="O325" s="29"/>
      <c r="P325" s="29"/>
    </row>
    <row r="326" spans="1:16" ht="11.25" customHeight="1" hidden="1">
      <c r="A326" s="23"/>
      <c r="B326" s="15">
        <v>16</v>
      </c>
      <c r="C326" s="23">
        <f t="shared" si="116"/>
        <v>2016</v>
      </c>
      <c r="D326" s="24"/>
      <c r="E326" s="25"/>
      <c r="F326" s="26"/>
      <c r="G326" s="27"/>
      <c r="H326" s="25"/>
      <c r="I326" s="27"/>
      <c r="J326" s="27"/>
      <c r="K326" s="28"/>
      <c r="L326" s="28"/>
      <c r="M326" s="28"/>
      <c r="N326" s="29"/>
      <c r="O326" s="29"/>
      <c r="P326" s="29"/>
    </row>
    <row r="327" spans="1:16" ht="11.25">
      <c r="A327" s="23">
        <v>21</v>
      </c>
      <c r="B327" s="15">
        <v>1</v>
      </c>
      <c r="C327" s="23">
        <f>$A$327*100+B327</f>
        <v>2101</v>
      </c>
      <c r="D327" s="24">
        <f>pol!D327</f>
        <v>18</v>
      </c>
      <c r="E327" s="25" t="str">
        <f>pol!E327</f>
        <v>5s</v>
      </c>
      <c r="F327" s="26">
        <f>pol!F327*25.4</f>
        <v>457.2</v>
      </c>
      <c r="G327" s="27">
        <f>pol!G327*25.4</f>
        <v>4.191</v>
      </c>
      <c r="H327" s="25">
        <f t="shared" si="109"/>
        <v>448.818</v>
      </c>
      <c r="I327" s="27">
        <f t="shared" si="110"/>
        <v>59.645044072045586</v>
      </c>
      <c r="J327" s="27">
        <f t="shared" si="111"/>
        <v>1582.087188203847</v>
      </c>
      <c r="K327" s="28">
        <f t="shared" si="112"/>
        <v>46.82135959655579</v>
      </c>
      <c r="L327" s="28">
        <f t="shared" si="95"/>
        <v>158.20871882038472</v>
      </c>
      <c r="M327" s="28">
        <f t="shared" si="96"/>
        <v>205.0300784169405</v>
      </c>
      <c r="N327" s="29">
        <f t="shared" si="113"/>
        <v>15301.542292180493</v>
      </c>
      <c r="O327" s="29">
        <f t="shared" si="114"/>
        <v>669.3588054322175</v>
      </c>
      <c r="P327" s="29">
        <f t="shared" si="115"/>
        <v>16.016972192099875</v>
      </c>
    </row>
    <row r="328" spans="1:16" ht="11.25">
      <c r="A328" s="23"/>
      <c r="B328" s="15">
        <v>2</v>
      </c>
      <c r="C328" s="23">
        <f aca="true" t="shared" si="117" ref="C328:C342">$A$327*100+B328</f>
        <v>2102</v>
      </c>
      <c r="D328" s="24">
        <f>pol!D328</f>
        <v>18</v>
      </c>
      <c r="E328" s="25" t="str">
        <f>pol!E328</f>
        <v>10s</v>
      </c>
      <c r="F328" s="26">
        <f>pol!F328*25.4</f>
        <v>457.2</v>
      </c>
      <c r="G328" s="27">
        <f>pol!G328*25.4</f>
        <v>4.7752</v>
      </c>
      <c r="H328" s="25">
        <f t="shared" si="109"/>
        <v>447.64959999999996</v>
      </c>
      <c r="I328" s="27">
        <f t="shared" si="110"/>
        <v>67.87156160498873</v>
      </c>
      <c r="J328" s="27">
        <f t="shared" si="111"/>
        <v>1573.860670670904</v>
      </c>
      <c r="K328" s="28">
        <f t="shared" si="112"/>
        <v>53.27917585991615</v>
      </c>
      <c r="L328" s="28">
        <f t="shared" si="95"/>
        <v>157.3860670670904</v>
      </c>
      <c r="M328" s="28">
        <f t="shared" si="96"/>
        <v>210.66524292700655</v>
      </c>
      <c r="N328" s="29">
        <f t="shared" si="113"/>
        <v>17367.569245453808</v>
      </c>
      <c r="O328" s="29">
        <f t="shared" si="114"/>
        <v>759.7361874651709</v>
      </c>
      <c r="P328" s="29">
        <f t="shared" si="115"/>
        <v>15.996523145283819</v>
      </c>
    </row>
    <row r="329" spans="1:16" ht="11.25">
      <c r="A329" s="23"/>
      <c r="B329" s="15">
        <v>3</v>
      </c>
      <c r="C329" s="23">
        <f t="shared" si="117"/>
        <v>2103</v>
      </c>
      <c r="D329" s="24">
        <f>pol!D329</f>
        <v>18</v>
      </c>
      <c r="E329" s="25">
        <f>pol!E329</f>
        <v>10</v>
      </c>
      <c r="F329" s="26">
        <f>pol!F329*25.4</f>
        <v>457.2</v>
      </c>
      <c r="G329" s="27">
        <f>pol!G329*25.4</f>
        <v>6.35</v>
      </c>
      <c r="H329" s="25">
        <f t="shared" si="109"/>
        <v>444.5</v>
      </c>
      <c r="I329" s="27">
        <f t="shared" si="110"/>
        <v>89.94057753980582</v>
      </c>
      <c r="J329" s="27">
        <f t="shared" si="111"/>
        <v>1551.7916547360867</v>
      </c>
      <c r="K329" s="28">
        <f t="shared" si="112"/>
        <v>70.60335336874756</v>
      </c>
      <c r="L329" s="28">
        <f t="shared" si="95"/>
        <v>155.1791654736087</v>
      </c>
      <c r="M329" s="28">
        <f t="shared" si="96"/>
        <v>225.78251884235624</v>
      </c>
      <c r="N329" s="29">
        <f t="shared" si="113"/>
        <v>22856.828880792178</v>
      </c>
      <c r="O329" s="29">
        <f t="shared" si="114"/>
        <v>999.8612808745485</v>
      </c>
      <c r="P329" s="29">
        <f t="shared" si="115"/>
        <v>15.94153556750415</v>
      </c>
    </row>
    <row r="330" spans="1:16" ht="11.25">
      <c r="A330" s="23"/>
      <c r="B330" s="15">
        <v>4</v>
      </c>
      <c r="C330" s="23">
        <f t="shared" si="117"/>
        <v>2104</v>
      </c>
      <c r="D330" s="24">
        <f>pol!D330</f>
        <v>18</v>
      </c>
      <c r="E330" s="25">
        <f>pol!E330</f>
        <v>20</v>
      </c>
      <c r="F330" s="26">
        <f>pol!F330*25.4</f>
        <v>457.2</v>
      </c>
      <c r="G330" s="27">
        <f>pol!G330*25.4</f>
        <v>7.924799999999999</v>
      </c>
      <c r="H330" s="25">
        <f t="shared" si="109"/>
        <v>441.3504</v>
      </c>
      <c r="I330" s="27">
        <f t="shared" si="110"/>
        <v>111.85377079065124</v>
      </c>
      <c r="J330" s="27">
        <f t="shared" si="111"/>
        <v>1529.8784614852414</v>
      </c>
      <c r="K330" s="28">
        <f t="shared" si="112"/>
        <v>87.80521007066123</v>
      </c>
      <c r="L330" s="28">
        <f aca="true" t="shared" si="118" ref="L330:L392">J330*0.1</f>
        <v>152.98784614852414</v>
      </c>
      <c r="M330" s="28">
        <f aca="true" t="shared" si="119" ref="M330:M392">L330+K330</f>
        <v>240.79305621918536</v>
      </c>
      <c r="N330" s="29">
        <f t="shared" si="113"/>
        <v>28230.63448182635</v>
      </c>
      <c r="O330" s="29">
        <f t="shared" si="114"/>
        <v>1234.9358915934536</v>
      </c>
      <c r="P330" s="29">
        <f t="shared" si="115"/>
        <v>15.886747928308072</v>
      </c>
    </row>
    <row r="331" spans="1:16" ht="11.25">
      <c r="A331" s="23"/>
      <c r="B331" s="15">
        <v>5</v>
      </c>
      <c r="C331" s="23">
        <f t="shared" si="117"/>
        <v>2105</v>
      </c>
      <c r="D331" s="24">
        <f>pol!D331</f>
        <v>18</v>
      </c>
      <c r="E331" s="25" t="str">
        <f>pol!E331</f>
        <v>STD</v>
      </c>
      <c r="F331" s="26">
        <f>pol!F331*25.4</f>
        <v>457.2</v>
      </c>
      <c r="G331" s="27">
        <f>pol!G331*25.4</f>
        <v>9.524999999999999</v>
      </c>
      <c r="H331" s="25">
        <f t="shared" si="109"/>
        <v>438.15</v>
      </c>
      <c r="I331" s="27">
        <f t="shared" si="110"/>
        <v>133.96078978640105</v>
      </c>
      <c r="J331" s="27">
        <f t="shared" si="111"/>
        <v>1507.7714424894916</v>
      </c>
      <c r="K331" s="28">
        <f t="shared" si="112"/>
        <v>105.15921998232483</v>
      </c>
      <c r="L331" s="28">
        <f t="shared" si="118"/>
        <v>150.77714424894916</v>
      </c>
      <c r="M331" s="28">
        <f t="shared" si="119"/>
        <v>255.93636423127398</v>
      </c>
      <c r="N331" s="29">
        <f t="shared" si="113"/>
        <v>33574.53099661418</v>
      </c>
      <c r="O331" s="29">
        <f t="shared" si="114"/>
        <v>1468.7021433339537</v>
      </c>
      <c r="P331" s="29">
        <f t="shared" si="115"/>
        <v>15.831283557011421</v>
      </c>
    </row>
    <row r="332" spans="1:16" ht="11.25">
      <c r="A332" s="23"/>
      <c r="B332" s="15">
        <v>6</v>
      </c>
      <c r="C332" s="23">
        <f t="shared" si="117"/>
        <v>2106</v>
      </c>
      <c r="D332" s="24">
        <f>pol!D332</f>
        <v>18</v>
      </c>
      <c r="E332" s="25">
        <f>pol!E332</f>
        <v>30</v>
      </c>
      <c r="F332" s="26">
        <f>pol!F332*25.4</f>
        <v>457.2</v>
      </c>
      <c r="G332" s="27">
        <f>pol!G332*25.4</f>
        <v>11.1252</v>
      </c>
      <c r="H332" s="25">
        <f t="shared" si="109"/>
        <v>434.9496</v>
      </c>
      <c r="I332" s="27">
        <f t="shared" si="110"/>
        <v>155.90691902338784</v>
      </c>
      <c r="J332" s="27">
        <f t="shared" si="111"/>
        <v>1485.8253132525049</v>
      </c>
      <c r="K332" s="28">
        <f t="shared" si="112"/>
        <v>122.38693143335946</v>
      </c>
      <c r="L332" s="28">
        <f t="shared" si="118"/>
        <v>148.5825313252505</v>
      </c>
      <c r="M332" s="28">
        <f t="shared" si="119"/>
        <v>270.96946275860995</v>
      </c>
      <c r="N332" s="29">
        <f t="shared" si="113"/>
        <v>38802.60068364594</v>
      </c>
      <c r="O332" s="29">
        <f t="shared" si="114"/>
        <v>1697.4016047089215</v>
      </c>
      <c r="P332" s="29">
        <f t="shared" si="115"/>
        <v>15.77602996915257</v>
      </c>
    </row>
    <row r="333" spans="1:16" ht="11.25">
      <c r="A333" s="23"/>
      <c r="B333" s="15">
        <v>7</v>
      </c>
      <c r="C333" s="23">
        <f t="shared" si="117"/>
        <v>2107</v>
      </c>
      <c r="D333" s="24">
        <f>pol!D333</f>
        <v>18</v>
      </c>
      <c r="E333" s="25" t="str">
        <f>pol!E333</f>
        <v>XS</v>
      </c>
      <c r="F333" s="26">
        <f>pol!F333*25.4</f>
        <v>457.2</v>
      </c>
      <c r="G333" s="27">
        <f>pol!G333*25.4</f>
        <v>12.7</v>
      </c>
      <c r="H333" s="25">
        <f t="shared" si="109"/>
        <v>431.8</v>
      </c>
      <c r="I333" s="27">
        <f t="shared" si="110"/>
        <v>177.347617684124</v>
      </c>
      <c r="J333" s="27">
        <f t="shared" si="111"/>
        <v>1464.3846145917685</v>
      </c>
      <c r="K333" s="28">
        <f t="shared" si="112"/>
        <v>139.21787988203735</v>
      </c>
      <c r="L333" s="28">
        <f t="shared" si="118"/>
        <v>146.43846145917686</v>
      </c>
      <c r="M333" s="28">
        <f t="shared" si="119"/>
        <v>285.6563413412142</v>
      </c>
      <c r="N333" s="29">
        <f t="shared" si="113"/>
        <v>43836.23879523745</v>
      </c>
      <c r="O333" s="29">
        <f t="shared" si="114"/>
        <v>1917.5957478231605</v>
      </c>
      <c r="P333" s="29">
        <f t="shared" si="115"/>
        <v>15.721861371987742</v>
      </c>
    </row>
    <row r="334" spans="1:16" ht="11.25">
      <c r="A334" s="23"/>
      <c r="B334" s="15">
        <v>8</v>
      </c>
      <c r="C334" s="23">
        <f t="shared" si="117"/>
        <v>2108</v>
      </c>
      <c r="D334" s="24">
        <f>pol!D334</f>
        <v>18</v>
      </c>
      <c r="E334" s="25">
        <f>pol!E334</f>
        <v>40</v>
      </c>
      <c r="F334" s="26">
        <f>pol!F334*25.4</f>
        <v>457.2</v>
      </c>
      <c r="G334" s="27">
        <f>pol!G334*25.4</f>
        <v>14.2748</v>
      </c>
      <c r="H334" s="25">
        <f t="shared" si="109"/>
        <v>428.6504</v>
      </c>
      <c r="I334" s="27">
        <f t="shared" si="110"/>
        <v>198.63249366088877</v>
      </c>
      <c r="J334" s="27">
        <f t="shared" si="111"/>
        <v>1443.0997386150038</v>
      </c>
      <c r="K334" s="28">
        <f t="shared" si="112"/>
        <v>155.92650752379768</v>
      </c>
      <c r="L334" s="28">
        <f t="shared" si="118"/>
        <v>144.3099738615004</v>
      </c>
      <c r="M334" s="28">
        <f t="shared" si="119"/>
        <v>300.2364813852981</v>
      </c>
      <c r="N334" s="29">
        <f t="shared" si="113"/>
        <v>48760.925943305105</v>
      </c>
      <c r="O334" s="29">
        <f t="shared" si="114"/>
        <v>2133.0238820343443</v>
      </c>
      <c r="P334" s="29">
        <f t="shared" si="115"/>
        <v>15.66790121195561</v>
      </c>
    </row>
    <row r="335" spans="1:16" ht="11.25">
      <c r="A335" s="23"/>
      <c r="B335" s="15">
        <v>9</v>
      </c>
      <c r="C335" s="23">
        <f t="shared" si="117"/>
        <v>2109</v>
      </c>
      <c r="D335" s="24">
        <f>pol!D335</f>
        <v>18</v>
      </c>
      <c r="E335" s="25">
        <f>pol!E335</f>
        <v>60</v>
      </c>
      <c r="F335" s="26">
        <f>pol!F335*25.4</f>
        <v>457.2</v>
      </c>
      <c r="G335" s="27">
        <f>pol!G335*25.4</f>
        <v>19.049999999999997</v>
      </c>
      <c r="H335" s="25">
        <f t="shared" si="109"/>
        <v>419.1</v>
      </c>
      <c r="I335" s="27">
        <f t="shared" si="110"/>
        <v>262.2211204329549</v>
      </c>
      <c r="J335" s="27">
        <f t="shared" si="111"/>
        <v>1379.511111842938</v>
      </c>
      <c r="K335" s="28">
        <f t="shared" si="112"/>
        <v>205.84357953986958</v>
      </c>
      <c r="L335" s="28">
        <f t="shared" si="118"/>
        <v>137.9511111842938</v>
      </c>
      <c r="M335" s="28">
        <f t="shared" si="119"/>
        <v>343.7946907241634</v>
      </c>
      <c r="N335" s="29">
        <f t="shared" si="113"/>
        <v>63043.9638546223</v>
      </c>
      <c r="O335" s="29">
        <f t="shared" si="114"/>
        <v>2757.828690053469</v>
      </c>
      <c r="P335" s="29">
        <f t="shared" si="115"/>
        <v>15.505576617784975</v>
      </c>
    </row>
    <row r="336" spans="1:16" ht="11.25">
      <c r="A336" s="23"/>
      <c r="B336" s="15">
        <v>10</v>
      </c>
      <c r="C336" s="23">
        <f t="shared" si="117"/>
        <v>2110</v>
      </c>
      <c r="D336" s="24">
        <f>pol!D336</f>
        <v>18</v>
      </c>
      <c r="E336" s="25">
        <f>pol!E336</f>
        <v>80</v>
      </c>
      <c r="F336" s="26">
        <f>pol!F336*25.4</f>
        <v>457.2</v>
      </c>
      <c r="G336" s="27">
        <f>pol!G336*25.4</f>
        <v>23.7998</v>
      </c>
      <c r="H336" s="25">
        <f t="shared" si="109"/>
        <v>409.6004</v>
      </c>
      <c r="I336" s="27">
        <f t="shared" si="110"/>
        <v>324.05019534970603</v>
      </c>
      <c r="J336" s="27">
        <f t="shared" si="111"/>
        <v>1317.6820369261868</v>
      </c>
      <c r="K336" s="28">
        <f t="shared" si="112"/>
        <v>254.37940334951924</v>
      </c>
      <c r="L336" s="28">
        <f t="shared" si="118"/>
        <v>131.7682036926187</v>
      </c>
      <c r="M336" s="28">
        <f t="shared" si="119"/>
        <v>386.1476070421379</v>
      </c>
      <c r="N336" s="29">
        <f t="shared" si="113"/>
        <v>76314.69749585654</v>
      </c>
      <c r="O336" s="29">
        <f t="shared" si="114"/>
        <v>3338.350721603523</v>
      </c>
      <c r="P336" s="29">
        <f t="shared" si="115"/>
        <v>15.346097380119154</v>
      </c>
    </row>
    <row r="337" spans="1:16" ht="11.25">
      <c r="A337" s="23"/>
      <c r="B337" s="15">
        <v>11</v>
      </c>
      <c r="C337" s="23">
        <f t="shared" si="117"/>
        <v>2111</v>
      </c>
      <c r="D337" s="24">
        <f>pol!D337</f>
        <v>18</v>
      </c>
      <c r="E337" s="25">
        <f>pol!E337</f>
        <v>100</v>
      </c>
      <c r="F337" s="26">
        <f>pol!F337*25.4</f>
        <v>457.2</v>
      </c>
      <c r="G337" s="27">
        <f>pol!G337*25.4</f>
        <v>29.362399999999997</v>
      </c>
      <c r="H337" s="25">
        <f aca="true" t="shared" si="120" ref="H337:H350">F337-2*G337</f>
        <v>398.4752</v>
      </c>
      <c r="I337" s="27">
        <f aca="true" t="shared" si="121" ref="I337:I350">PI()*(F337^2-H337^2)/400</f>
        <v>394.6575111709401</v>
      </c>
      <c r="J337" s="27">
        <f aca="true" t="shared" si="122" ref="J337:J350">PI()*H337^2/400</f>
        <v>1247.0747211049525</v>
      </c>
      <c r="K337" s="28">
        <f aca="true" t="shared" si="123" ref="K337:K350">0.785*I337</f>
        <v>309.806146269188</v>
      </c>
      <c r="L337" s="28">
        <f t="shared" si="118"/>
        <v>124.70747211049525</v>
      </c>
      <c r="M337" s="28">
        <f t="shared" si="119"/>
        <v>434.51361837968324</v>
      </c>
      <c r="N337" s="29">
        <f t="shared" si="113"/>
        <v>90725.42880215938</v>
      </c>
      <c r="O337" s="29">
        <f t="shared" si="114"/>
        <v>3968.741417417296</v>
      </c>
      <c r="P337" s="29">
        <f aca="true" t="shared" si="124" ref="P337:P350">SQRT(N337/I337)</f>
        <v>15.161924453525025</v>
      </c>
    </row>
    <row r="338" spans="1:16" ht="11.25">
      <c r="A338" s="23"/>
      <c r="B338" s="15">
        <v>12</v>
      </c>
      <c r="C338" s="23">
        <f t="shared" si="117"/>
        <v>2112</v>
      </c>
      <c r="D338" s="24">
        <f>pol!D338</f>
        <v>18</v>
      </c>
      <c r="E338" s="25">
        <f>pol!E338</f>
        <v>120</v>
      </c>
      <c r="F338" s="26">
        <f>pol!F338*25.4</f>
        <v>457.2</v>
      </c>
      <c r="G338" s="27">
        <f>pol!G338*25.4</f>
        <v>34.925</v>
      </c>
      <c r="H338" s="25">
        <f t="shared" si="120"/>
        <v>387.35</v>
      </c>
      <c r="I338" s="27">
        <f t="shared" si="121"/>
        <v>463.3206511997743</v>
      </c>
      <c r="J338" s="27">
        <f t="shared" si="122"/>
        <v>1178.4115810761184</v>
      </c>
      <c r="K338" s="28">
        <f t="shared" si="123"/>
        <v>363.7067111918229</v>
      </c>
      <c r="L338" s="28">
        <f t="shared" si="118"/>
        <v>117.84115810761185</v>
      </c>
      <c r="M338" s="28">
        <f t="shared" si="119"/>
        <v>481.54786929943475</v>
      </c>
      <c r="N338" s="29">
        <f t="shared" si="113"/>
        <v>103978.38072563497</v>
      </c>
      <c r="O338" s="29">
        <f t="shared" si="114"/>
        <v>4548.485596047024</v>
      </c>
      <c r="P338" s="29">
        <f t="shared" si="124"/>
        <v>14.980651323040002</v>
      </c>
    </row>
    <row r="339" spans="1:16" ht="11.25">
      <c r="A339" s="23"/>
      <c r="B339" s="15">
        <v>13</v>
      </c>
      <c r="C339" s="23">
        <f t="shared" si="117"/>
        <v>2113</v>
      </c>
      <c r="D339" s="24">
        <f>pol!D339</f>
        <v>18</v>
      </c>
      <c r="E339" s="25">
        <f>pol!E339</f>
        <v>140</v>
      </c>
      <c r="F339" s="26">
        <f>pol!F339*25.4</f>
        <v>457.2</v>
      </c>
      <c r="G339" s="27">
        <f>pol!G339*25.4</f>
        <v>39.6748</v>
      </c>
      <c r="H339" s="25">
        <f t="shared" si="120"/>
        <v>377.8504</v>
      </c>
      <c r="I339" s="27">
        <f t="shared" si="121"/>
        <v>520.4120111869637</v>
      </c>
      <c r="J339" s="27">
        <f t="shared" si="122"/>
        <v>1121.320221088929</v>
      </c>
      <c r="K339" s="28">
        <f t="shared" si="123"/>
        <v>408.52342878176654</v>
      </c>
      <c r="L339" s="28">
        <f t="shared" si="118"/>
        <v>112.1320221088929</v>
      </c>
      <c r="M339" s="28">
        <f t="shared" si="119"/>
        <v>520.6554508906595</v>
      </c>
      <c r="N339" s="29">
        <f t="shared" si="113"/>
        <v>114426.49022523595</v>
      </c>
      <c r="O339" s="29">
        <f t="shared" si="114"/>
        <v>5005.533255697111</v>
      </c>
      <c r="P339" s="29">
        <f t="shared" si="124"/>
        <v>14.828240893228035</v>
      </c>
    </row>
    <row r="340" spans="1:16" ht="11.25">
      <c r="A340" s="23"/>
      <c r="B340" s="15">
        <v>14</v>
      </c>
      <c r="C340" s="23">
        <f t="shared" si="117"/>
        <v>2114</v>
      </c>
      <c r="D340" s="24">
        <f>pol!D340</f>
        <v>18</v>
      </c>
      <c r="E340" s="25">
        <f>pol!E340</f>
        <v>160</v>
      </c>
      <c r="F340" s="26">
        <f>pol!F340*25.4</f>
        <v>457.2</v>
      </c>
      <c r="G340" s="27">
        <f>pol!G340*25.4</f>
        <v>45.237399999999994</v>
      </c>
      <c r="H340" s="25">
        <f t="shared" si="120"/>
        <v>366.7252</v>
      </c>
      <c r="I340" s="27">
        <f t="shared" si="121"/>
        <v>585.4708801120803</v>
      </c>
      <c r="J340" s="27">
        <f t="shared" si="122"/>
        <v>1056.2613521638123</v>
      </c>
      <c r="K340" s="28">
        <f t="shared" si="123"/>
        <v>459.5946408879831</v>
      </c>
      <c r="L340" s="28">
        <f t="shared" si="118"/>
        <v>105.62613521638123</v>
      </c>
      <c r="M340" s="28">
        <f t="shared" si="119"/>
        <v>565.2207761043643</v>
      </c>
      <c r="N340" s="29">
        <f t="shared" si="113"/>
        <v>125700.30973093443</v>
      </c>
      <c r="O340" s="29">
        <f t="shared" si="114"/>
        <v>5498.701213076747</v>
      </c>
      <c r="P340" s="29">
        <f t="shared" si="124"/>
        <v>14.652628013325803</v>
      </c>
    </row>
    <row r="341" spans="1:16" ht="11.25" customHeight="1" hidden="1">
      <c r="A341" s="23"/>
      <c r="B341" s="15">
        <v>15</v>
      </c>
      <c r="C341" s="23">
        <f t="shared" si="117"/>
        <v>2115</v>
      </c>
      <c r="D341" s="24"/>
      <c r="E341" s="25"/>
      <c r="F341" s="26"/>
      <c r="G341" s="27"/>
      <c r="H341" s="25"/>
      <c r="I341" s="27"/>
      <c r="J341" s="27"/>
      <c r="K341" s="28"/>
      <c r="L341" s="28"/>
      <c r="M341" s="28"/>
      <c r="N341" s="29"/>
      <c r="O341" s="29"/>
      <c r="P341" s="29"/>
    </row>
    <row r="342" spans="1:16" ht="11.25" customHeight="1" hidden="1">
      <c r="A342" s="23"/>
      <c r="B342" s="15">
        <v>16</v>
      </c>
      <c r="C342" s="23">
        <f t="shared" si="117"/>
        <v>2116</v>
      </c>
      <c r="D342" s="24"/>
      <c r="E342" s="25"/>
      <c r="F342" s="26"/>
      <c r="G342" s="27"/>
      <c r="H342" s="25"/>
      <c r="I342" s="27"/>
      <c r="J342" s="27"/>
      <c r="K342" s="28"/>
      <c r="L342" s="28"/>
      <c r="M342" s="28"/>
      <c r="N342" s="29"/>
      <c r="O342" s="29"/>
      <c r="P342" s="29"/>
    </row>
    <row r="343" spans="1:16" ht="11.25">
      <c r="A343" s="23">
        <v>22</v>
      </c>
      <c r="B343" s="15">
        <v>1</v>
      </c>
      <c r="C343" s="23">
        <f>$A$343*100+B343</f>
        <v>2201</v>
      </c>
      <c r="D343" s="24">
        <f>pol!D343</f>
        <v>20</v>
      </c>
      <c r="E343" s="25" t="str">
        <f>pol!E343</f>
        <v>5s</v>
      </c>
      <c r="F343" s="26">
        <f>pol!F343*25.4</f>
        <v>508</v>
      </c>
      <c r="G343" s="27">
        <f>pol!G343*25.4</f>
        <v>4.7752</v>
      </c>
      <c r="H343" s="25">
        <f t="shared" si="120"/>
        <v>498.4496</v>
      </c>
      <c r="I343" s="27">
        <f t="shared" si="121"/>
        <v>75.49244209061503</v>
      </c>
      <c r="J343" s="27">
        <f t="shared" si="122"/>
        <v>1951.3374742993758</v>
      </c>
      <c r="K343" s="28">
        <f t="shared" si="123"/>
        <v>59.2615670411328</v>
      </c>
      <c r="L343" s="28">
        <f t="shared" si="118"/>
        <v>195.13374742993759</v>
      </c>
      <c r="M343" s="28">
        <f t="shared" si="119"/>
        <v>254.39531447107038</v>
      </c>
      <c r="N343" s="29">
        <f t="shared" si="113"/>
        <v>23898.83130020226</v>
      </c>
      <c r="O343" s="29">
        <f t="shared" si="114"/>
        <v>940.8988700867031</v>
      </c>
      <c r="P343" s="29">
        <f t="shared" si="124"/>
        <v>17.79248443409741</v>
      </c>
    </row>
    <row r="344" spans="1:16" ht="11.25">
      <c r="A344" s="23"/>
      <c r="B344" s="15">
        <v>2</v>
      </c>
      <c r="C344" s="23">
        <f aca="true" t="shared" si="125" ref="C344:C358">$A$343*100+B344</f>
        <v>2202</v>
      </c>
      <c r="D344" s="24">
        <f>pol!D344</f>
        <v>20</v>
      </c>
      <c r="E344" s="25" t="str">
        <f>pol!E344</f>
        <v>10s</v>
      </c>
      <c r="F344" s="26">
        <f>pol!F344*25.4</f>
        <v>508</v>
      </c>
      <c r="G344" s="27">
        <f>pol!G344*25.4</f>
        <v>5.5371999999999995</v>
      </c>
      <c r="H344" s="25">
        <f t="shared" si="120"/>
        <v>496.9256</v>
      </c>
      <c r="I344" s="27">
        <f t="shared" si="121"/>
        <v>87.40655370513858</v>
      </c>
      <c r="J344" s="27">
        <f t="shared" si="122"/>
        <v>1939.4233626848522</v>
      </c>
      <c r="K344" s="28">
        <f t="shared" si="123"/>
        <v>68.61414465853379</v>
      </c>
      <c r="L344" s="28">
        <f t="shared" si="118"/>
        <v>193.94233626848523</v>
      </c>
      <c r="M344" s="28">
        <f t="shared" si="119"/>
        <v>262.55648092701904</v>
      </c>
      <c r="N344" s="29">
        <f t="shared" si="113"/>
        <v>27587.64172126994</v>
      </c>
      <c r="O344" s="29">
        <f t="shared" si="114"/>
        <v>1086.1276268216513</v>
      </c>
      <c r="P344" s="29">
        <f t="shared" si="124"/>
        <v>17.765821328033176</v>
      </c>
    </row>
    <row r="345" spans="1:16" ht="11.25">
      <c r="A345" s="23"/>
      <c r="B345" s="15">
        <v>3</v>
      </c>
      <c r="C345" s="23">
        <f t="shared" si="125"/>
        <v>2203</v>
      </c>
      <c r="D345" s="24">
        <f>pol!D345</f>
        <v>20</v>
      </c>
      <c r="E345" s="25">
        <f>pol!E345</f>
        <v>10</v>
      </c>
      <c r="F345" s="26">
        <f>pol!F345*25.4</f>
        <v>508</v>
      </c>
      <c r="G345" s="27">
        <f>pol!G345*25.4</f>
        <v>6.35</v>
      </c>
      <c r="H345" s="25">
        <f t="shared" si="120"/>
        <v>495.3</v>
      </c>
      <c r="I345" s="27">
        <f t="shared" si="121"/>
        <v>100.0747271217556</v>
      </c>
      <c r="J345" s="27">
        <f t="shared" si="122"/>
        <v>1926.7551892682354</v>
      </c>
      <c r="K345" s="28">
        <f t="shared" si="123"/>
        <v>78.55866079057814</v>
      </c>
      <c r="L345" s="28">
        <f t="shared" si="118"/>
        <v>192.67551892682354</v>
      </c>
      <c r="M345" s="28">
        <f t="shared" si="119"/>
        <v>271.2341797174017</v>
      </c>
      <c r="N345" s="29">
        <f t="shared" si="113"/>
        <v>31485.140996023434</v>
      </c>
      <c r="O345" s="29">
        <f t="shared" si="114"/>
        <v>1239.572480158403</v>
      </c>
      <c r="P345" s="29">
        <f t="shared" si="124"/>
        <v>17.737426708798544</v>
      </c>
    </row>
    <row r="346" spans="1:16" ht="11.25">
      <c r="A346" s="23"/>
      <c r="B346" s="15">
        <v>4</v>
      </c>
      <c r="C346" s="23">
        <f t="shared" si="125"/>
        <v>2204</v>
      </c>
      <c r="D346" s="24">
        <f>pol!D346</f>
        <v>20</v>
      </c>
      <c r="E346" s="25">
        <f>pol!E346</f>
        <v>20</v>
      </c>
      <c r="F346" s="26">
        <f>pol!F346*25.4</f>
        <v>508</v>
      </c>
      <c r="G346" s="27">
        <f>pol!G346*25.4</f>
        <v>9.524999999999999</v>
      </c>
      <c r="H346" s="25">
        <f t="shared" si="120"/>
        <v>488.95</v>
      </c>
      <c r="I346" s="27">
        <f t="shared" si="121"/>
        <v>149.16201415932608</v>
      </c>
      <c r="J346" s="27">
        <f t="shared" si="122"/>
        <v>1877.6679022306648</v>
      </c>
      <c r="K346" s="28">
        <f t="shared" si="123"/>
        <v>117.09218111507097</v>
      </c>
      <c r="L346" s="28">
        <f t="shared" si="118"/>
        <v>187.7667902230665</v>
      </c>
      <c r="M346" s="28">
        <f t="shared" si="119"/>
        <v>304.85897133813745</v>
      </c>
      <c r="N346" s="29">
        <f t="shared" si="113"/>
        <v>46346.13897513568</v>
      </c>
      <c r="O346" s="29">
        <f t="shared" si="114"/>
        <v>1824.6511407533733</v>
      </c>
      <c r="P346" s="29">
        <f t="shared" si="124"/>
        <v>17.626969792409007</v>
      </c>
    </row>
    <row r="347" spans="1:16" ht="11.25">
      <c r="A347" s="23"/>
      <c r="B347" s="15">
        <v>5</v>
      </c>
      <c r="C347" s="23">
        <f t="shared" si="125"/>
        <v>2205</v>
      </c>
      <c r="D347" s="24">
        <f>pol!D347</f>
        <v>20</v>
      </c>
      <c r="E347" s="25" t="str">
        <f>pol!E347</f>
        <v>STD</v>
      </c>
      <c r="F347" s="26">
        <f>pol!F347*25.4</f>
        <v>508</v>
      </c>
      <c r="G347" s="27">
        <f>pol!G347*25.4</f>
        <v>9.524999999999999</v>
      </c>
      <c r="H347" s="25">
        <f t="shared" si="120"/>
        <v>488.95</v>
      </c>
      <c r="I347" s="27">
        <f t="shared" si="121"/>
        <v>149.16201415932608</v>
      </c>
      <c r="J347" s="27">
        <f t="shared" si="122"/>
        <v>1877.6679022306648</v>
      </c>
      <c r="K347" s="28">
        <f t="shared" si="123"/>
        <v>117.09218111507097</v>
      </c>
      <c r="L347" s="28">
        <f t="shared" si="118"/>
        <v>187.7667902230665</v>
      </c>
      <c r="M347" s="28">
        <f t="shared" si="119"/>
        <v>304.85897133813745</v>
      </c>
      <c r="N347" s="29">
        <f t="shared" si="113"/>
        <v>46346.13897513568</v>
      </c>
      <c r="O347" s="29">
        <f t="shared" si="114"/>
        <v>1824.6511407533733</v>
      </c>
      <c r="P347" s="29">
        <f t="shared" si="124"/>
        <v>17.626969792409007</v>
      </c>
    </row>
    <row r="348" spans="1:16" ht="11.25">
      <c r="A348" s="23"/>
      <c r="B348" s="15">
        <v>6</v>
      </c>
      <c r="C348" s="23">
        <f t="shared" si="125"/>
        <v>2206</v>
      </c>
      <c r="D348" s="24">
        <f>pol!D348</f>
        <v>20</v>
      </c>
      <c r="E348" s="25">
        <f>pol!E348</f>
        <v>30</v>
      </c>
      <c r="F348" s="26">
        <f>pol!F348*25.4</f>
        <v>508</v>
      </c>
      <c r="G348" s="27">
        <f>pol!G348*25.4</f>
        <v>12.7</v>
      </c>
      <c r="H348" s="25">
        <f t="shared" si="120"/>
        <v>482.6</v>
      </c>
      <c r="I348" s="27">
        <f t="shared" si="121"/>
        <v>197.61591684802403</v>
      </c>
      <c r="J348" s="27">
        <f t="shared" si="122"/>
        <v>1829.2139995419668</v>
      </c>
      <c r="K348" s="28">
        <f t="shared" si="123"/>
        <v>155.12849472569886</v>
      </c>
      <c r="L348" s="28">
        <f t="shared" si="118"/>
        <v>182.9213999541967</v>
      </c>
      <c r="M348" s="28">
        <f t="shared" si="119"/>
        <v>338.04989467989554</v>
      </c>
      <c r="N348" s="29">
        <f t="shared" si="113"/>
        <v>60639.27901206478</v>
      </c>
      <c r="O348" s="29">
        <f t="shared" si="114"/>
        <v>2387.3731894513694</v>
      </c>
      <c r="P348" s="29">
        <f t="shared" si="124"/>
        <v>17.517255064649813</v>
      </c>
    </row>
    <row r="349" spans="1:16" ht="11.25">
      <c r="A349" s="23"/>
      <c r="B349" s="15">
        <v>7</v>
      </c>
      <c r="C349" s="23">
        <f t="shared" si="125"/>
        <v>2207</v>
      </c>
      <c r="D349" s="24">
        <f>pol!D349</f>
        <v>20</v>
      </c>
      <c r="E349" s="25" t="str">
        <f>pol!E349</f>
        <v>XS</v>
      </c>
      <c r="F349" s="26">
        <f>pol!F349*25.4</f>
        <v>508</v>
      </c>
      <c r="G349" s="27">
        <f>pol!G349*25.4</f>
        <v>12.7</v>
      </c>
      <c r="H349" s="25">
        <f t="shared" si="120"/>
        <v>482.6</v>
      </c>
      <c r="I349" s="27">
        <f t="shared" si="121"/>
        <v>197.61591684802403</v>
      </c>
      <c r="J349" s="27">
        <f t="shared" si="122"/>
        <v>1829.2139995419668</v>
      </c>
      <c r="K349" s="28">
        <f t="shared" si="123"/>
        <v>155.12849472569886</v>
      </c>
      <c r="L349" s="28">
        <f t="shared" si="118"/>
        <v>182.9213999541967</v>
      </c>
      <c r="M349" s="28">
        <f t="shared" si="119"/>
        <v>338.04989467989554</v>
      </c>
      <c r="N349" s="29">
        <f t="shared" si="113"/>
        <v>60639.27901206478</v>
      </c>
      <c r="O349" s="29">
        <f t="shared" si="114"/>
        <v>2387.3731894513694</v>
      </c>
      <c r="P349" s="29">
        <f t="shared" si="124"/>
        <v>17.517255064649813</v>
      </c>
    </row>
    <row r="350" spans="1:16" ht="11.25">
      <c r="A350" s="23"/>
      <c r="B350" s="15">
        <v>8</v>
      </c>
      <c r="C350" s="23">
        <f t="shared" si="125"/>
        <v>2208</v>
      </c>
      <c r="D350" s="24">
        <f>pol!D350</f>
        <v>20</v>
      </c>
      <c r="E350" s="25">
        <f>pol!E350</f>
        <v>40</v>
      </c>
      <c r="F350" s="26">
        <f>pol!F350*25.4</f>
        <v>508</v>
      </c>
      <c r="G350" s="27">
        <f>pol!G350*25.4</f>
        <v>15.062199999999999</v>
      </c>
      <c r="H350" s="25">
        <f t="shared" si="120"/>
        <v>477.8756</v>
      </c>
      <c r="I350" s="27">
        <f t="shared" si="121"/>
        <v>233.2547009511666</v>
      </c>
      <c r="J350" s="27">
        <f t="shared" si="122"/>
        <v>1793.5752154388244</v>
      </c>
      <c r="K350" s="28">
        <f t="shared" si="123"/>
        <v>183.1049402466658</v>
      </c>
      <c r="L350" s="28">
        <f t="shared" si="118"/>
        <v>179.35752154388246</v>
      </c>
      <c r="M350" s="28">
        <f t="shared" si="119"/>
        <v>362.4624617905482</v>
      </c>
      <c r="N350" s="29">
        <f t="shared" si="113"/>
        <v>70913.66981638841</v>
      </c>
      <c r="O350" s="29">
        <f t="shared" si="114"/>
        <v>2791.876764424741</v>
      </c>
      <c r="P350" s="29">
        <f t="shared" si="124"/>
        <v>17.436117132896875</v>
      </c>
    </row>
    <row r="351" spans="1:16" ht="11.25">
      <c r="A351" s="23"/>
      <c r="B351" s="15">
        <v>9</v>
      </c>
      <c r="C351" s="23">
        <f t="shared" si="125"/>
        <v>2209</v>
      </c>
      <c r="D351" s="24">
        <f>pol!D351</f>
        <v>20</v>
      </c>
      <c r="E351" s="25">
        <f>pol!E351</f>
        <v>60</v>
      </c>
      <c r="F351" s="26">
        <f>pol!F351*25.4</f>
        <v>508</v>
      </c>
      <c r="G351" s="27">
        <f>pol!G351*25.4</f>
        <v>20.6248</v>
      </c>
      <c r="H351" s="25">
        <f aca="true" t="shared" si="126" ref="H351:H366">F351-2*G351</f>
        <v>466.7504</v>
      </c>
      <c r="I351" s="27">
        <f aca="true" t="shared" si="127" ref="I351:I366">PI()*(F351^2-H351^2)/400</f>
        <v>315.7933969778119</v>
      </c>
      <c r="J351" s="27">
        <f aca="true" t="shared" si="128" ref="J351:J366">PI()*H351^2/400</f>
        <v>1711.036519412179</v>
      </c>
      <c r="K351" s="28">
        <f aca="true" t="shared" si="129" ref="K351:K366">0.785*I351</f>
        <v>247.89781662758233</v>
      </c>
      <c r="L351" s="28">
        <f t="shared" si="118"/>
        <v>171.1036519412179</v>
      </c>
      <c r="M351" s="28">
        <f t="shared" si="119"/>
        <v>419.0014685688002</v>
      </c>
      <c r="N351" s="29">
        <f t="shared" si="113"/>
        <v>93932.73327960877</v>
      </c>
      <c r="O351" s="29">
        <f t="shared" si="114"/>
        <v>3698.139105496409</v>
      </c>
      <c r="P351" s="29">
        <f aca="true" t="shared" si="130" ref="P351:P366">SQRT(N351/I351)</f>
        <v>17.246737660717173</v>
      </c>
    </row>
    <row r="352" spans="1:16" ht="11.25">
      <c r="A352" s="23"/>
      <c r="B352" s="15">
        <v>10</v>
      </c>
      <c r="C352" s="23">
        <f t="shared" si="125"/>
        <v>2210</v>
      </c>
      <c r="D352" s="24">
        <f>pol!D352</f>
        <v>20</v>
      </c>
      <c r="E352" s="25">
        <f>pol!E352</f>
        <v>80</v>
      </c>
      <c r="F352" s="26">
        <f>pol!F352*25.4</f>
        <v>508</v>
      </c>
      <c r="G352" s="27">
        <f>pol!G352*25.4</f>
        <v>26.187399999999997</v>
      </c>
      <c r="H352" s="25">
        <f t="shared" si="126"/>
        <v>455.6252</v>
      </c>
      <c r="I352" s="27">
        <f t="shared" si="127"/>
        <v>396.38791721205786</v>
      </c>
      <c r="J352" s="27">
        <f t="shared" si="128"/>
        <v>1630.441999177933</v>
      </c>
      <c r="K352" s="28">
        <f t="shared" si="129"/>
        <v>311.1645150114654</v>
      </c>
      <c r="L352" s="28">
        <f t="shared" si="118"/>
        <v>163.04419991779332</v>
      </c>
      <c r="M352" s="28">
        <f t="shared" si="119"/>
        <v>474.20871492925875</v>
      </c>
      <c r="N352" s="29">
        <f t="shared" si="113"/>
        <v>115363.33296056066</v>
      </c>
      <c r="O352" s="29">
        <f t="shared" si="114"/>
        <v>4541.863502384278</v>
      </c>
      <c r="P352" s="29">
        <f t="shared" si="130"/>
        <v>17.059790496864256</v>
      </c>
    </row>
    <row r="353" spans="1:16" ht="11.25">
      <c r="A353" s="23"/>
      <c r="B353" s="15">
        <v>11</v>
      </c>
      <c r="C353" s="23">
        <f t="shared" si="125"/>
        <v>2211</v>
      </c>
      <c r="D353" s="24">
        <f>pol!D353</f>
        <v>20</v>
      </c>
      <c r="E353" s="25">
        <f>pol!E353</f>
        <v>100</v>
      </c>
      <c r="F353" s="26">
        <f>pol!F353*25.4</f>
        <v>508</v>
      </c>
      <c r="G353" s="27">
        <f>pol!G353*25.4</f>
        <v>32.5374</v>
      </c>
      <c r="H353" s="25">
        <f t="shared" si="126"/>
        <v>442.9252</v>
      </c>
      <c r="I353" s="27">
        <f t="shared" si="127"/>
        <v>486.0143361148232</v>
      </c>
      <c r="J353" s="27">
        <f t="shared" si="128"/>
        <v>1540.8155802751676</v>
      </c>
      <c r="K353" s="28">
        <f t="shared" si="129"/>
        <v>381.52125385013625</v>
      </c>
      <c r="L353" s="28">
        <f t="shared" si="118"/>
        <v>154.08155802751676</v>
      </c>
      <c r="M353" s="28">
        <f t="shared" si="119"/>
        <v>535.602811877653</v>
      </c>
      <c r="N353" s="29">
        <f t="shared" si="113"/>
        <v>137981.51516981798</v>
      </c>
      <c r="O353" s="29">
        <f t="shared" si="114"/>
        <v>5432.343116921968</v>
      </c>
      <c r="P353" s="29">
        <f t="shared" si="130"/>
        <v>16.849457201847777</v>
      </c>
    </row>
    <row r="354" spans="1:16" ht="11.25">
      <c r="A354" s="23"/>
      <c r="B354" s="15">
        <v>12</v>
      </c>
      <c r="C354" s="23">
        <f t="shared" si="125"/>
        <v>2212</v>
      </c>
      <c r="D354" s="24">
        <f>pol!D354</f>
        <v>20</v>
      </c>
      <c r="E354" s="25">
        <f>pol!E354</f>
        <v>120</v>
      </c>
      <c r="F354" s="26">
        <f>pol!F354*25.4</f>
        <v>508</v>
      </c>
      <c r="G354" s="27">
        <f>pol!G354*25.4</f>
        <v>38.099999999999994</v>
      </c>
      <c r="H354" s="25">
        <f t="shared" si="126"/>
        <v>431.8</v>
      </c>
      <c r="I354" s="27">
        <f t="shared" si="127"/>
        <v>562.4453017982223</v>
      </c>
      <c r="J354" s="27">
        <f t="shared" si="128"/>
        <v>1464.3846145917685</v>
      </c>
      <c r="K354" s="28">
        <f t="shared" si="129"/>
        <v>441.5195619116045</v>
      </c>
      <c r="L354" s="28">
        <f t="shared" si="118"/>
        <v>146.43846145917686</v>
      </c>
      <c r="M354" s="28">
        <f t="shared" si="119"/>
        <v>587.9580233707813</v>
      </c>
      <c r="N354" s="29">
        <f t="shared" si="113"/>
        <v>156259.69269731827</v>
      </c>
      <c r="O354" s="29">
        <f t="shared" si="114"/>
        <v>6151.956405406231</v>
      </c>
      <c r="P354" s="29">
        <f t="shared" si="130"/>
        <v>16.667994030476493</v>
      </c>
    </row>
    <row r="355" spans="1:16" ht="11.25">
      <c r="A355" s="23"/>
      <c r="B355" s="15">
        <v>13</v>
      </c>
      <c r="C355" s="23">
        <f t="shared" si="125"/>
        <v>2213</v>
      </c>
      <c r="D355" s="24">
        <f>pol!D355</f>
        <v>20</v>
      </c>
      <c r="E355" s="25">
        <f>pol!E355</f>
        <v>140</v>
      </c>
      <c r="F355" s="26">
        <f>pol!F355*25.4</f>
        <v>508</v>
      </c>
      <c r="G355" s="27">
        <f>pol!G355*25.4</f>
        <v>44.449999999999996</v>
      </c>
      <c r="H355" s="25">
        <f t="shared" si="126"/>
        <v>419.1</v>
      </c>
      <c r="I355" s="27">
        <f t="shared" si="127"/>
        <v>647.3188045470531</v>
      </c>
      <c r="J355" s="27">
        <f t="shared" si="128"/>
        <v>1379.511111842938</v>
      </c>
      <c r="K355" s="28">
        <f t="shared" si="129"/>
        <v>508.1452615694367</v>
      </c>
      <c r="L355" s="28">
        <f t="shared" si="118"/>
        <v>137.9511111842938</v>
      </c>
      <c r="M355" s="28">
        <f t="shared" si="119"/>
        <v>646.0963727537305</v>
      </c>
      <c r="N355" s="29">
        <f t="shared" si="113"/>
        <v>175467.4177567031</v>
      </c>
      <c r="O355" s="29">
        <f t="shared" si="114"/>
        <v>6908.166053413508</v>
      </c>
      <c r="P355" s="29">
        <f t="shared" si="130"/>
        <v>16.4641430463295</v>
      </c>
    </row>
    <row r="356" spans="1:16" ht="11.25">
      <c r="A356" s="23"/>
      <c r="B356" s="15">
        <v>14</v>
      </c>
      <c r="C356" s="23">
        <f t="shared" si="125"/>
        <v>2214</v>
      </c>
      <c r="D356" s="24">
        <f>pol!D356</f>
        <v>20</v>
      </c>
      <c r="E356" s="25">
        <f>pol!E356</f>
        <v>160</v>
      </c>
      <c r="F356" s="26">
        <f>pol!F356*25.4</f>
        <v>508</v>
      </c>
      <c r="G356" s="27">
        <f>pol!G356*25.4</f>
        <v>49.987199999999994</v>
      </c>
      <c r="H356" s="25">
        <f t="shared" si="126"/>
        <v>408.0256</v>
      </c>
      <c r="I356" s="27">
        <f t="shared" si="127"/>
        <v>719.2606459901363</v>
      </c>
      <c r="J356" s="27">
        <f t="shared" si="128"/>
        <v>1307.5692703998548</v>
      </c>
      <c r="K356" s="28">
        <f t="shared" si="129"/>
        <v>564.619607102257</v>
      </c>
      <c r="L356" s="28">
        <f t="shared" si="118"/>
        <v>130.75692703998547</v>
      </c>
      <c r="M356" s="28">
        <f t="shared" si="119"/>
        <v>695.3765341422425</v>
      </c>
      <c r="N356" s="29">
        <f t="shared" si="113"/>
        <v>190850.818162166</v>
      </c>
      <c r="O356" s="29">
        <f t="shared" si="114"/>
        <v>7513.811738667952</v>
      </c>
      <c r="P356" s="29">
        <f t="shared" si="130"/>
        <v>16.289354082025472</v>
      </c>
    </row>
    <row r="357" spans="1:16" ht="11.25" customHeight="1" hidden="1">
      <c r="A357" s="23"/>
      <c r="B357" s="15">
        <v>15</v>
      </c>
      <c r="C357" s="23">
        <f t="shared" si="125"/>
        <v>2215</v>
      </c>
      <c r="D357" s="24"/>
      <c r="E357" s="25"/>
      <c r="F357" s="26"/>
      <c r="G357" s="27"/>
      <c r="H357" s="25"/>
      <c r="I357" s="27"/>
      <c r="J357" s="27"/>
      <c r="K357" s="28"/>
      <c r="L357" s="28"/>
      <c r="M357" s="28"/>
      <c r="N357" s="29"/>
      <c r="O357" s="29"/>
      <c r="P357" s="29"/>
    </row>
    <row r="358" spans="1:16" ht="11.25" customHeight="1" hidden="1">
      <c r="A358" s="23"/>
      <c r="B358" s="15">
        <v>16</v>
      </c>
      <c r="C358" s="23">
        <f t="shared" si="125"/>
        <v>2216</v>
      </c>
      <c r="D358" s="24"/>
      <c r="E358" s="25"/>
      <c r="F358" s="26"/>
      <c r="G358" s="27"/>
      <c r="H358" s="25"/>
      <c r="I358" s="27"/>
      <c r="J358" s="27"/>
      <c r="K358" s="28"/>
      <c r="L358" s="28"/>
      <c r="M358" s="28"/>
      <c r="N358" s="29"/>
      <c r="O358" s="29"/>
      <c r="P358" s="29"/>
    </row>
    <row r="359" spans="1:16" ht="11.25">
      <c r="A359" s="23">
        <v>23</v>
      </c>
      <c r="B359" s="15">
        <v>1</v>
      </c>
      <c r="C359" s="23">
        <f>$A$359*100+B359</f>
        <v>2301</v>
      </c>
      <c r="D359" s="24">
        <f>pol!D359</f>
        <v>24</v>
      </c>
      <c r="E359" s="25" t="str">
        <f>pol!E359</f>
        <v>5s</v>
      </c>
      <c r="F359" s="26">
        <f>pol!F359*25.4</f>
        <v>609.5999999999999</v>
      </c>
      <c r="G359" s="27">
        <f>pol!G359*25.4</f>
        <v>5.5371999999999995</v>
      </c>
      <c r="H359" s="25">
        <f t="shared" si="126"/>
        <v>598.5255999999999</v>
      </c>
      <c r="I359" s="27">
        <f t="shared" si="127"/>
        <v>105.08051057605904</v>
      </c>
      <c r="J359" s="27">
        <f t="shared" si="128"/>
        <v>2813.5545690255276</v>
      </c>
      <c r="K359" s="28">
        <f t="shared" si="129"/>
        <v>82.48820080220635</v>
      </c>
      <c r="L359" s="28">
        <f t="shared" si="118"/>
        <v>281.35545690255276</v>
      </c>
      <c r="M359" s="28">
        <f t="shared" si="119"/>
        <v>363.8436577047591</v>
      </c>
      <c r="N359" s="29">
        <f t="shared" si="113"/>
        <v>47932.80681283274</v>
      </c>
      <c r="O359" s="29">
        <f t="shared" si="114"/>
        <v>1572.598648714985</v>
      </c>
      <c r="P359" s="29">
        <f t="shared" si="130"/>
        <v>21.357742358676376</v>
      </c>
    </row>
    <row r="360" spans="1:16" ht="11.25">
      <c r="A360" s="23"/>
      <c r="B360" s="15">
        <v>2</v>
      </c>
      <c r="C360" s="23">
        <f aca="true" t="shared" si="131" ref="C360:C374">$A$359*100+B360</f>
        <v>2302</v>
      </c>
      <c r="D360" s="24">
        <f>pol!D360</f>
        <v>24</v>
      </c>
      <c r="E360" s="25" t="str">
        <f>pol!E360</f>
        <v>10s</v>
      </c>
      <c r="F360" s="26">
        <f>pol!F360*25.4</f>
        <v>609.5999999999999</v>
      </c>
      <c r="G360" s="27">
        <f>pol!G360*25.4</f>
        <v>6.35</v>
      </c>
      <c r="H360" s="25">
        <f t="shared" si="126"/>
        <v>596.8999999999999</v>
      </c>
      <c r="I360" s="27">
        <f t="shared" si="127"/>
        <v>120.34302628565655</v>
      </c>
      <c r="J360" s="27">
        <f t="shared" si="128"/>
        <v>2798.29205331593</v>
      </c>
      <c r="K360" s="28">
        <f t="shared" si="129"/>
        <v>94.46927563424039</v>
      </c>
      <c r="L360" s="28">
        <f t="shared" si="118"/>
        <v>279.829205331593</v>
      </c>
      <c r="M360" s="28">
        <f t="shared" si="119"/>
        <v>374.2984809658334</v>
      </c>
      <c r="N360" s="29">
        <f t="shared" si="113"/>
        <v>54748.688650303644</v>
      </c>
      <c r="O360" s="29">
        <f t="shared" si="114"/>
        <v>1796.216819235684</v>
      </c>
      <c r="P360" s="29">
        <f t="shared" si="130"/>
        <v>21.329289867456897</v>
      </c>
    </row>
    <row r="361" spans="1:16" ht="11.25">
      <c r="A361" s="23"/>
      <c r="B361" s="15">
        <v>3</v>
      </c>
      <c r="C361" s="23">
        <f t="shared" si="131"/>
        <v>2303</v>
      </c>
      <c r="D361" s="24">
        <f>pol!D361</f>
        <v>24</v>
      </c>
      <c r="E361" s="25">
        <f>pol!E361</f>
        <v>10</v>
      </c>
      <c r="F361" s="26">
        <f>pol!F361*25.4</f>
        <v>609.5999999999999</v>
      </c>
      <c r="G361" s="27">
        <f>pol!G361*25.4</f>
        <v>6.35</v>
      </c>
      <c r="H361" s="25">
        <f t="shared" si="126"/>
        <v>596.8999999999999</v>
      </c>
      <c r="I361" s="27">
        <f t="shared" si="127"/>
        <v>120.34302628565655</v>
      </c>
      <c r="J361" s="27">
        <f t="shared" si="128"/>
        <v>2798.29205331593</v>
      </c>
      <c r="K361" s="28">
        <f t="shared" si="129"/>
        <v>94.46927563424039</v>
      </c>
      <c r="L361" s="28">
        <f t="shared" si="118"/>
        <v>279.829205331593</v>
      </c>
      <c r="M361" s="28">
        <f t="shared" si="119"/>
        <v>374.2984809658334</v>
      </c>
      <c r="N361" s="29">
        <f t="shared" si="113"/>
        <v>54748.688650303644</v>
      </c>
      <c r="O361" s="29">
        <f t="shared" si="114"/>
        <v>1796.216819235684</v>
      </c>
      <c r="P361" s="29">
        <f t="shared" si="130"/>
        <v>21.329289867456897</v>
      </c>
    </row>
    <row r="362" spans="1:16" ht="11.25">
      <c r="A362" s="23"/>
      <c r="B362" s="15">
        <v>4</v>
      </c>
      <c r="C362" s="23">
        <f t="shared" si="131"/>
        <v>2304</v>
      </c>
      <c r="D362" s="24">
        <f>pol!D362</f>
        <v>24</v>
      </c>
      <c r="E362" s="25">
        <f>pol!E362</f>
        <v>20</v>
      </c>
      <c r="F362" s="26">
        <f>pol!F362*25.4</f>
        <v>609.5999999999999</v>
      </c>
      <c r="G362" s="27">
        <f>pol!G362*25.4</f>
        <v>9.524999999999999</v>
      </c>
      <c r="H362" s="25">
        <f t="shared" si="126"/>
        <v>590.55</v>
      </c>
      <c r="I362" s="27">
        <f t="shared" si="127"/>
        <v>179.56446290517565</v>
      </c>
      <c r="J362" s="27">
        <f t="shared" si="128"/>
        <v>2739.0706166964105</v>
      </c>
      <c r="K362" s="28">
        <f t="shared" si="129"/>
        <v>140.95810338056287</v>
      </c>
      <c r="L362" s="28">
        <f t="shared" si="118"/>
        <v>273.90706166964105</v>
      </c>
      <c r="M362" s="28">
        <f t="shared" si="119"/>
        <v>414.8651650502039</v>
      </c>
      <c r="N362" s="29">
        <f t="shared" si="113"/>
        <v>80844.57444462455</v>
      </c>
      <c r="O362" s="29">
        <f t="shared" si="114"/>
        <v>2652.3810513328267</v>
      </c>
      <c r="P362" s="29">
        <f t="shared" si="130"/>
        <v>21.218527612973052</v>
      </c>
    </row>
    <row r="363" spans="1:16" ht="11.25">
      <c r="A363" s="23"/>
      <c r="B363" s="15">
        <v>5</v>
      </c>
      <c r="C363" s="23">
        <f t="shared" si="131"/>
        <v>2305</v>
      </c>
      <c r="D363" s="24">
        <f>pol!D363</f>
        <v>24</v>
      </c>
      <c r="E363" s="25" t="str">
        <f>pol!E363</f>
        <v>STD</v>
      </c>
      <c r="F363" s="26">
        <f>pol!F363*25.4</f>
        <v>609.5999999999999</v>
      </c>
      <c r="G363" s="27">
        <f>pol!G363*25.4</f>
        <v>9.524999999999999</v>
      </c>
      <c r="H363" s="25">
        <f t="shared" si="126"/>
        <v>590.55</v>
      </c>
      <c r="I363" s="27">
        <f t="shared" si="127"/>
        <v>179.56446290517565</v>
      </c>
      <c r="J363" s="27">
        <f t="shared" si="128"/>
        <v>2739.0706166964105</v>
      </c>
      <c r="K363" s="28">
        <f t="shared" si="129"/>
        <v>140.95810338056287</v>
      </c>
      <c r="L363" s="28">
        <f t="shared" si="118"/>
        <v>273.90706166964105</v>
      </c>
      <c r="M363" s="28">
        <f t="shared" si="119"/>
        <v>414.8651650502039</v>
      </c>
      <c r="N363" s="29">
        <f t="shared" si="113"/>
        <v>80844.57444462455</v>
      </c>
      <c r="O363" s="29">
        <f t="shared" si="114"/>
        <v>2652.3810513328267</v>
      </c>
      <c r="P363" s="29">
        <f t="shared" si="130"/>
        <v>21.218527612973052</v>
      </c>
    </row>
    <row r="364" spans="1:16" ht="11.25">
      <c r="A364" s="23"/>
      <c r="B364" s="15">
        <v>6</v>
      </c>
      <c r="C364" s="23">
        <f t="shared" si="131"/>
        <v>2306</v>
      </c>
      <c r="D364" s="24">
        <f>pol!D364</f>
        <v>24</v>
      </c>
      <c r="E364" s="25" t="str">
        <f>pol!E364</f>
        <v>XS</v>
      </c>
      <c r="F364" s="26">
        <f>pol!F364*25.4</f>
        <v>609.5999999999999</v>
      </c>
      <c r="G364" s="27">
        <f>pol!G364*25.4</f>
        <v>12.7</v>
      </c>
      <c r="H364" s="25">
        <f t="shared" si="126"/>
        <v>584.1999999999999</v>
      </c>
      <c r="I364" s="27">
        <f t="shared" si="127"/>
        <v>238.15251517582408</v>
      </c>
      <c r="J364" s="27">
        <f t="shared" si="128"/>
        <v>2680.4825644257626</v>
      </c>
      <c r="K364" s="28">
        <f t="shared" si="129"/>
        <v>186.9497244130219</v>
      </c>
      <c r="L364" s="28">
        <f t="shared" si="118"/>
        <v>268.04825644257625</v>
      </c>
      <c r="M364" s="28">
        <f t="shared" si="119"/>
        <v>454.99798085559814</v>
      </c>
      <c r="N364" s="29">
        <f t="shared" si="113"/>
        <v>106112.09796460753</v>
      </c>
      <c r="O364" s="29">
        <f t="shared" si="114"/>
        <v>3481.3680434582525</v>
      </c>
      <c r="P364" s="29">
        <f t="shared" si="130"/>
        <v>21.108378076015203</v>
      </c>
    </row>
    <row r="365" spans="1:16" ht="11.25">
      <c r="A365" s="23"/>
      <c r="B365" s="15">
        <v>7</v>
      </c>
      <c r="C365" s="23">
        <f t="shared" si="131"/>
        <v>2307</v>
      </c>
      <c r="D365" s="24">
        <f>pol!D365</f>
        <v>24</v>
      </c>
      <c r="E365" s="25">
        <f>pol!E365</f>
        <v>30</v>
      </c>
      <c r="F365" s="26">
        <f>pol!F365*25.4</f>
        <v>609.5999999999999</v>
      </c>
      <c r="G365" s="27">
        <f>pol!G365*25.4</f>
        <v>14.2748</v>
      </c>
      <c r="H365" s="25">
        <f t="shared" si="126"/>
        <v>581.0503999999999</v>
      </c>
      <c r="I365" s="27">
        <f t="shared" si="127"/>
        <v>266.9771984415597</v>
      </c>
      <c r="J365" s="27">
        <f t="shared" si="128"/>
        <v>2651.657881160026</v>
      </c>
      <c r="K365" s="28">
        <f t="shared" si="129"/>
        <v>209.57710077662438</v>
      </c>
      <c r="L365" s="28">
        <f t="shared" si="118"/>
        <v>265.1657881160026</v>
      </c>
      <c r="M365" s="28">
        <f t="shared" si="119"/>
        <v>474.742888892627</v>
      </c>
      <c r="N365" s="29">
        <f t="shared" si="113"/>
        <v>118342.93725696499</v>
      </c>
      <c r="O365" s="29">
        <f t="shared" si="114"/>
        <v>3882.6422984568567</v>
      </c>
      <c r="P365" s="29">
        <f t="shared" si="130"/>
        <v>21.053974199366724</v>
      </c>
    </row>
    <row r="366" spans="1:16" ht="11.25">
      <c r="A366" s="23"/>
      <c r="B366" s="15">
        <v>8</v>
      </c>
      <c r="C366" s="23">
        <f t="shared" si="131"/>
        <v>2308</v>
      </c>
      <c r="D366" s="24">
        <f>pol!D366</f>
        <v>24</v>
      </c>
      <c r="E366" s="25">
        <f>pol!E366</f>
        <v>40</v>
      </c>
      <c r="F366" s="26">
        <f>pol!F366*25.4</f>
        <v>609.5999999999999</v>
      </c>
      <c r="G366" s="27">
        <f>pol!G366*25.4</f>
        <v>17.4498</v>
      </c>
      <c r="H366" s="25">
        <f t="shared" si="126"/>
        <v>574.7004</v>
      </c>
      <c r="I366" s="27">
        <f t="shared" si="127"/>
        <v>324.617707726295</v>
      </c>
      <c r="J366" s="27">
        <f t="shared" si="128"/>
        <v>2594.0173718752912</v>
      </c>
      <c r="K366" s="28">
        <f t="shared" si="129"/>
        <v>254.8249005651416</v>
      </c>
      <c r="L366" s="28">
        <f t="shared" si="118"/>
        <v>259.40173718752914</v>
      </c>
      <c r="M366" s="28">
        <f t="shared" si="119"/>
        <v>514.2266377526707</v>
      </c>
      <c r="N366" s="29">
        <f t="shared" si="113"/>
        <v>142404.2515700878</v>
      </c>
      <c r="O366" s="29">
        <f t="shared" si="114"/>
        <v>4672.055497706293</v>
      </c>
      <c r="P366" s="29">
        <f t="shared" si="130"/>
        <v>20.944759334976837</v>
      </c>
    </row>
    <row r="367" spans="1:16" ht="11.25">
      <c r="A367" s="23"/>
      <c r="B367" s="15">
        <v>9</v>
      </c>
      <c r="C367" s="23">
        <f t="shared" si="131"/>
        <v>2309</v>
      </c>
      <c r="D367" s="24">
        <f>pol!D367</f>
        <v>24</v>
      </c>
      <c r="E367" s="25">
        <f>pol!E367</f>
        <v>60</v>
      </c>
      <c r="F367" s="26">
        <f>pol!F367*25.4</f>
        <v>609.5999999999999</v>
      </c>
      <c r="G367" s="27">
        <f>pol!G367*25.4</f>
        <v>24.5872</v>
      </c>
      <c r="H367" s="25">
        <f aca="true" t="shared" si="132" ref="H367:H372">F367-2*G367</f>
        <v>560.4255999999999</v>
      </c>
      <c r="I367" s="27">
        <f aca="true" t="shared" si="133" ref="I367:I372">PI()*(F367^2-H367^2)/400</f>
        <v>451.8812434199688</v>
      </c>
      <c r="J367" s="27">
        <f aca="true" t="shared" si="134" ref="J367:J372">PI()*H367^2/400</f>
        <v>2466.7538361816173</v>
      </c>
      <c r="K367" s="28">
        <f aca="true" t="shared" si="135" ref="K367:K372">0.785*I367</f>
        <v>354.7267760846755</v>
      </c>
      <c r="L367" s="28">
        <f t="shared" si="118"/>
        <v>246.67538361816173</v>
      </c>
      <c r="M367" s="28">
        <f t="shared" si="119"/>
        <v>601.4021597028373</v>
      </c>
      <c r="N367" s="29">
        <f t="shared" si="113"/>
        <v>193656.2524093858</v>
      </c>
      <c r="O367" s="29">
        <f t="shared" si="114"/>
        <v>6353.551588234443</v>
      </c>
      <c r="P367" s="29">
        <f aca="true" t="shared" si="136" ref="P367:P372">SQRT(N367/I367)</f>
        <v>20.701585282523638</v>
      </c>
    </row>
    <row r="368" spans="1:16" ht="11.25">
      <c r="A368" s="23"/>
      <c r="B368" s="15">
        <v>10</v>
      </c>
      <c r="C368" s="23">
        <f t="shared" si="131"/>
        <v>2310</v>
      </c>
      <c r="D368" s="24">
        <f>pol!D368</f>
        <v>24</v>
      </c>
      <c r="E368" s="25">
        <f>pol!E368</f>
        <v>80</v>
      </c>
      <c r="F368" s="26">
        <f>pol!F368*25.4</f>
        <v>609.5999999999999</v>
      </c>
      <c r="G368" s="27">
        <f>pol!G368*25.4</f>
        <v>30.937199999999997</v>
      </c>
      <c r="H368" s="25">
        <f t="shared" si="132"/>
        <v>547.7255999999999</v>
      </c>
      <c r="I368" s="27">
        <f t="shared" si="133"/>
        <v>562.4144129102973</v>
      </c>
      <c r="J368" s="27">
        <f t="shared" si="134"/>
        <v>2356.220666691289</v>
      </c>
      <c r="K368" s="28">
        <f t="shared" si="135"/>
        <v>441.4953141345834</v>
      </c>
      <c r="L368" s="28">
        <f t="shared" si="118"/>
        <v>235.6220666691289</v>
      </c>
      <c r="M368" s="28">
        <f t="shared" si="119"/>
        <v>677.1173808037123</v>
      </c>
      <c r="N368" s="29">
        <f t="shared" si="113"/>
        <v>236078.89571137726</v>
      </c>
      <c r="O368" s="29">
        <f t="shared" si="114"/>
        <v>7745.370594205291</v>
      </c>
      <c r="P368" s="29">
        <f t="shared" si="136"/>
        <v>20.488037559990946</v>
      </c>
    </row>
    <row r="369" spans="1:16" ht="11.25">
      <c r="A369" s="23"/>
      <c r="B369" s="15">
        <v>11</v>
      </c>
      <c r="C369" s="23">
        <f t="shared" si="131"/>
        <v>2311</v>
      </c>
      <c r="D369" s="24">
        <f>pol!D369</f>
        <v>24</v>
      </c>
      <c r="E369" s="25">
        <f>pol!E369</f>
        <v>100</v>
      </c>
      <c r="F369" s="26">
        <f>pol!F369*25.4</f>
        <v>609.5999999999999</v>
      </c>
      <c r="G369" s="27">
        <f>pol!G369*25.4</f>
        <v>38.88739999999999</v>
      </c>
      <c r="H369" s="25">
        <f t="shared" si="132"/>
        <v>531.8251999999999</v>
      </c>
      <c r="I369" s="27">
        <f t="shared" si="133"/>
        <v>697.2302817018244</v>
      </c>
      <c r="J369" s="27">
        <f t="shared" si="134"/>
        <v>2221.404797899762</v>
      </c>
      <c r="K369" s="28">
        <f t="shared" si="135"/>
        <v>547.3257711359322</v>
      </c>
      <c r="L369" s="28">
        <f t="shared" si="118"/>
        <v>222.1404797899762</v>
      </c>
      <c r="M369" s="28">
        <f t="shared" si="119"/>
        <v>769.4662509259084</v>
      </c>
      <c r="N369" s="29">
        <f t="shared" si="113"/>
        <v>285189.0622781567</v>
      </c>
      <c r="O369" s="29">
        <f t="shared" si="114"/>
        <v>9356.596531435587</v>
      </c>
      <c r="P369" s="29">
        <f t="shared" si="136"/>
        <v>20.224524150073343</v>
      </c>
    </row>
    <row r="370" spans="1:16" ht="11.25">
      <c r="A370" s="23"/>
      <c r="B370" s="15">
        <v>12</v>
      </c>
      <c r="C370" s="23">
        <f t="shared" si="131"/>
        <v>2312</v>
      </c>
      <c r="D370" s="24">
        <f>pol!D370</f>
        <v>24</v>
      </c>
      <c r="E370" s="25">
        <f>pol!E370</f>
        <v>120</v>
      </c>
      <c r="F370" s="26">
        <f>pol!F370*25.4</f>
        <v>609.5999999999999</v>
      </c>
      <c r="G370" s="27">
        <f>pol!G370*25.4</f>
        <v>46.0248</v>
      </c>
      <c r="H370" s="25">
        <f t="shared" si="132"/>
        <v>517.5503999999999</v>
      </c>
      <c r="I370" s="27">
        <f t="shared" si="133"/>
        <v>814.879995589684</v>
      </c>
      <c r="J370" s="27">
        <f t="shared" si="134"/>
        <v>2103.755084011902</v>
      </c>
      <c r="K370" s="28">
        <f t="shared" si="135"/>
        <v>639.680796537902</v>
      </c>
      <c r="L370" s="28">
        <f t="shared" si="118"/>
        <v>210.37550840119022</v>
      </c>
      <c r="M370" s="28">
        <f t="shared" si="119"/>
        <v>850.0563049390922</v>
      </c>
      <c r="N370" s="29">
        <f t="shared" si="113"/>
        <v>325682.36286923627</v>
      </c>
      <c r="O370" s="29">
        <f t="shared" si="114"/>
        <v>10685.116892035312</v>
      </c>
      <c r="P370" s="29">
        <f t="shared" si="136"/>
        <v>19.99172604698253</v>
      </c>
    </row>
    <row r="371" spans="1:16" ht="11.25">
      <c r="A371" s="23"/>
      <c r="B371" s="15">
        <v>13</v>
      </c>
      <c r="C371" s="23">
        <f t="shared" si="131"/>
        <v>2313</v>
      </c>
      <c r="D371" s="24">
        <f>pol!D371</f>
        <v>24</v>
      </c>
      <c r="E371" s="25">
        <f>pol!E371</f>
        <v>140</v>
      </c>
      <c r="F371" s="26">
        <f>pol!F371*25.4</f>
        <v>609.5999999999999</v>
      </c>
      <c r="G371" s="27">
        <f>pol!G371*25.4</f>
        <v>52.37479999999999</v>
      </c>
      <c r="H371" s="25">
        <f t="shared" si="132"/>
        <v>504.8503999999999</v>
      </c>
      <c r="I371" s="27">
        <f t="shared" si="133"/>
        <v>916.8599428328458</v>
      </c>
      <c r="J371" s="27">
        <f t="shared" si="134"/>
        <v>2001.7751367687406</v>
      </c>
      <c r="K371" s="28">
        <f t="shared" si="135"/>
        <v>719.735055123784</v>
      </c>
      <c r="L371" s="28">
        <f t="shared" si="118"/>
        <v>200.17751367687407</v>
      </c>
      <c r="M371" s="28">
        <f t="shared" si="119"/>
        <v>919.9125688006582</v>
      </c>
      <c r="N371" s="29">
        <f t="shared" si="113"/>
        <v>358999.9983400542</v>
      </c>
      <c r="O371" s="29">
        <f t="shared" si="114"/>
        <v>11778.215168636949</v>
      </c>
      <c r="P371" s="29">
        <f t="shared" si="136"/>
        <v>19.78771851395708</v>
      </c>
    </row>
    <row r="372" spans="1:16" ht="11.25">
      <c r="A372" s="23"/>
      <c r="B372" s="15">
        <v>14</v>
      </c>
      <c r="C372" s="23">
        <f t="shared" si="131"/>
        <v>2314</v>
      </c>
      <c r="D372" s="24">
        <f>pol!D372</f>
        <v>24</v>
      </c>
      <c r="E372" s="25">
        <f>pol!E372</f>
        <v>160</v>
      </c>
      <c r="F372" s="26">
        <f>pol!F372*25.4</f>
        <v>609.5999999999999</v>
      </c>
      <c r="G372" s="27">
        <f>pol!G372*25.4</f>
        <v>59.51219999999999</v>
      </c>
      <c r="H372" s="25">
        <f t="shared" si="132"/>
        <v>490.5755999999999</v>
      </c>
      <c r="I372" s="27">
        <f t="shared" si="133"/>
        <v>1028.4611503476158</v>
      </c>
      <c r="J372" s="27">
        <f t="shared" si="134"/>
        <v>1890.1739292539705</v>
      </c>
      <c r="K372" s="28">
        <f t="shared" si="135"/>
        <v>807.3420030228784</v>
      </c>
      <c r="L372" s="28">
        <f t="shared" si="118"/>
        <v>189.01739292539708</v>
      </c>
      <c r="M372" s="28">
        <f t="shared" si="119"/>
        <v>996.3593959482755</v>
      </c>
      <c r="N372" s="29">
        <f t="shared" si="113"/>
        <v>393564.1719334864</v>
      </c>
      <c r="O372" s="29">
        <f t="shared" si="114"/>
        <v>12912.210365271865</v>
      </c>
      <c r="P372" s="29">
        <f t="shared" si="136"/>
        <v>19.56202602165992</v>
      </c>
    </row>
    <row r="373" spans="1:16" ht="11.25" customHeight="1" hidden="1">
      <c r="A373" s="23"/>
      <c r="B373" s="15">
        <v>15</v>
      </c>
      <c r="C373" s="23">
        <f t="shared" si="131"/>
        <v>2315</v>
      </c>
      <c r="D373" s="24"/>
      <c r="E373" s="25"/>
      <c r="F373" s="26"/>
      <c r="G373" s="27"/>
      <c r="H373" s="25"/>
      <c r="I373" s="27"/>
      <c r="J373" s="27"/>
      <c r="K373" s="28"/>
      <c r="L373" s="28"/>
      <c r="M373" s="28"/>
      <c r="N373" s="29"/>
      <c r="O373" s="29"/>
      <c r="P373" s="29"/>
    </row>
    <row r="374" spans="1:16" ht="11.25" customHeight="1" hidden="1">
      <c r="A374" s="23"/>
      <c r="B374" s="15">
        <v>16</v>
      </c>
      <c r="C374" s="23">
        <f t="shared" si="131"/>
        <v>2316</v>
      </c>
      <c r="D374" s="24"/>
      <c r="E374" s="25"/>
      <c r="F374" s="26"/>
      <c r="G374" s="27"/>
      <c r="H374" s="25"/>
      <c r="I374" s="27"/>
      <c r="J374" s="27"/>
      <c r="K374" s="28"/>
      <c r="L374" s="28"/>
      <c r="M374" s="28"/>
      <c r="N374" s="29"/>
      <c r="O374" s="29"/>
      <c r="P374" s="29"/>
    </row>
    <row r="375" spans="1:16" ht="11.25">
      <c r="A375" s="23">
        <v>24</v>
      </c>
      <c r="B375" s="15">
        <v>1</v>
      </c>
      <c r="C375" s="23">
        <f>$A$375*100+B375</f>
        <v>2401</v>
      </c>
      <c r="D375" s="24">
        <f>pol!D375</f>
        <v>26</v>
      </c>
      <c r="E375" s="25" t="str">
        <f>pol!E375</f>
        <v>STD</v>
      </c>
      <c r="F375" s="26">
        <f>pol!F375*25.4</f>
        <v>660.4</v>
      </c>
      <c r="G375" s="27">
        <f>pol!G375*25.4</f>
        <v>9.524999999999999</v>
      </c>
      <c r="H375" s="25">
        <f>F375-2*G375</f>
        <v>641.35</v>
      </c>
      <c r="I375" s="27">
        <f>PI()*(F375^2-H375^2)/400</f>
        <v>194.76568727810042</v>
      </c>
      <c r="J375" s="27">
        <f>PI()*H375^2/400</f>
        <v>3230.576871420984</v>
      </c>
      <c r="K375" s="28">
        <f>0.785*I375</f>
        <v>152.89106451330883</v>
      </c>
      <c r="L375" s="28">
        <f t="shared" si="118"/>
        <v>323.0576871420984</v>
      </c>
      <c r="M375" s="28">
        <f t="shared" si="119"/>
        <v>475.94875165540725</v>
      </c>
      <c r="N375" s="29">
        <f t="shared" si="113"/>
        <v>103159.8352505778</v>
      </c>
      <c r="O375" s="29">
        <f t="shared" si="114"/>
        <v>3124.1621820284013</v>
      </c>
      <c r="P375" s="29">
        <f>SQRT(N375/I375)</f>
        <v>23.014370272994626</v>
      </c>
    </row>
    <row r="376" spans="1:16" ht="11.25">
      <c r="A376" s="23"/>
      <c r="B376" s="15">
        <v>2</v>
      </c>
      <c r="C376" s="23">
        <f aca="true" t="shared" si="137" ref="C376:C390">$A$375*100+B376</f>
        <v>2402</v>
      </c>
      <c r="D376" s="24">
        <f>pol!D376</f>
        <v>26</v>
      </c>
      <c r="E376" s="25" t="str">
        <f>pol!E376</f>
        <v>XS</v>
      </c>
      <c r="F376" s="26">
        <f>pol!F376*25.4</f>
        <v>660.4</v>
      </c>
      <c r="G376" s="27">
        <f>pol!G376*25.4</f>
        <v>12.7</v>
      </c>
      <c r="H376" s="25">
        <f>F376-2*G376</f>
        <v>635</v>
      </c>
      <c r="I376" s="27">
        <f>PI()*(F376^2-H376^2)/400</f>
        <v>258.4208143397237</v>
      </c>
      <c r="J376" s="27">
        <f>PI()*H376^2/400</f>
        <v>3166.9217443593607</v>
      </c>
      <c r="K376" s="28">
        <f>0.785*I376</f>
        <v>202.8603392566831</v>
      </c>
      <c r="L376" s="28">
        <f t="shared" si="118"/>
        <v>316.69217443593607</v>
      </c>
      <c r="M376" s="28">
        <f t="shared" si="119"/>
        <v>519.5525136926192</v>
      </c>
      <c r="N376" s="29">
        <f t="shared" si="113"/>
        <v>135566.45445363753</v>
      </c>
      <c r="O376" s="29">
        <f t="shared" si="114"/>
        <v>4105.586143356679</v>
      </c>
      <c r="P376" s="29">
        <f>SQRT(N376/I376)</f>
        <v>22.904054772026704</v>
      </c>
    </row>
    <row r="377" spans="1:16" ht="11.25" customHeight="1" hidden="1">
      <c r="A377" s="23"/>
      <c r="B377" s="15">
        <v>3</v>
      </c>
      <c r="C377" s="23">
        <f t="shared" si="137"/>
        <v>2403</v>
      </c>
      <c r="D377" s="24"/>
      <c r="E377" s="25"/>
      <c r="F377" s="26"/>
      <c r="G377" s="27"/>
      <c r="H377" s="25"/>
      <c r="I377" s="27"/>
      <c r="J377" s="27"/>
      <c r="K377" s="28"/>
      <c r="L377" s="28"/>
      <c r="M377" s="28"/>
      <c r="N377" s="29"/>
      <c r="O377" s="29"/>
      <c r="P377" s="29"/>
    </row>
    <row r="378" spans="1:16" ht="11.25" customHeight="1" hidden="1">
      <c r="A378" s="23"/>
      <c r="B378" s="15">
        <v>4</v>
      </c>
      <c r="C378" s="23">
        <f t="shared" si="137"/>
        <v>2404</v>
      </c>
      <c r="D378" s="24"/>
      <c r="E378" s="25"/>
      <c r="F378" s="26"/>
      <c r="G378" s="27"/>
      <c r="H378" s="25"/>
      <c r="I378" s="27"/>
      <c r="J378" s="27"/>
      <c r="K378" s="28"/>
      <c r="L378" s="28"/>
      <c r="M378" s="28"/>
      <c r="N378" s="29"/>
      <c r="O378" s="29"/>
      <c r="P378" s="29"/>
    </row>
    <row r="379" spans="1:16" ht="11.25" customHeight="1" hidden="1">
      <c r="A379" s="23"/>
      <c r="B379" s="15">
        <v>5</v>
      </c>
      <c r="C379" s="23">
        <f t="shared" si="137"/>
        <v>2405</v>
      </c>
      <c r="D379" s="24"/>
      <c r="E379" s="25"/>
      <c r="F379" s="26"/>
      <c r="G379" s="27"/>
      <c r="H379" s="25"/>
      <c r="I379" s="27"/>
      <c r="J379" s="27"/>
      <c r="K379" s="28"/>
      <c r="L379" s="28"/>
      <c r="M379" s="28"/>
      <c r="N379" s="29"/>
      <c r="O379" s="29"/>
      <c r="P379" s="29"/>
    </row>
    <row r="380" spans="1:16" ht="11.25" customHeight="1" hidden="1">
      <c r="A380" s="23"/>
      <c r="B380" s="15">
        <v>6</v>
      </c>
      <c r="C380" s="23">
        <f t="shared" si="137"/>
        <v>2406</v>
      </c>
      <c r="D380" s="24"/>
      <c r="E380" s="25"/>
      <c r="F380" s="26"/>
      <c r="G380" s="27"/>
      <c r="H380" s="25"/>
      <c r="I380" s="27"/>
      <c r="J380" s="27"/>
      <c r="K380" s="28"/>
      <c r="L380" s="28"/>
      <c r="M380" s="28"/>
      <c r="N380" s="29"/>
      <c r="O380" s="29"/>
      <c r="P380" s="29"/>
    </row>
    <row r="381" spans="1:16" ht="11.25" customHeight="1" hidden="1">
      <c r="A381" s="23"/>
      <c r="B381" s="15">
        <v>7</v>
      </c>
      <c r="C381" s="23">
        <f t="shared" si="137"/>
        <v>2407</v>
      </c>
      <c r="D381" s="24"/>
      <c r="E381" s="25"/>
      <c r="F381" s="26"/>
      <c r="G381" s="27"/>
      <c r="H381" s="25"/>
      <c r="I381" s="27"/>
      <c r="J381" s="27"/>
      <c r="K381" s="28"/>
      <c r="L381" s="28"/>
      <c r="M381" s="28"/>
      <c r="N381" s="29"/>
      <c r="O381" s="29"/>
      <c r="P381" s="29"/>
    </row>
    <row r="382" spans="1:16" ht="11.25" customHeight="1" hidden="1">
      <c r="A382" s="23"/>
      <c r="B382" s="15">
        <v>8</v>
      </c>
      <c r="C382" s="23">
        <f t="shared" si="137"/>
        <v>2408</v>
      </c>
      <c r="D382" s="24"/>
      <c r="E382" s="25"/>
      <c r="F382" s="26"/>
      <c r="G382" s="27"/>
      <c r="H382" s="25"/>
      <c r="I382" s="27"/>
      <c r="J382" s="27"/>
      <c r="K382" s="28"/>
      <c r="L382" s="28"/>
      <c r="M382" s="28"/>
      <c r="N382" s="29"/>
      <c r="O382" s="29"/>
      <c r="P382" s="29"/>
    </row>
    <row r="383" spans="1:16" ht="11.25" customHeight="1" hidden="1">
      <c r="A383" s="23"/>
      <c r="B383" s="15">
        <v>9</v>
      </c>
      <c r="C383" s="23">
        <f t="shared" si="137"/>
        <v>2409</v>
      </c>
      <c r="D383" s="24"/>
      <c r="E383" s="25"/>
      <c r="F383" s="26"/>
      <c r="G383" s="27"/>
      <c r="H383" s="25"/>
      <c r="I383" s="27"/>
      <c r="J383" s="27"/>
      <c r="K383" s="28"/>
      <c r="L383" s="28"/>
      <c r="M383" s="28"/>
      <c r="N383" s="29"/>
      <c r="O383" s="29"/>
      <c r="P383" s="29"/>
    </row>
    <row r="384" spans="1:16" ht="11.25" customHeight="1" hidden="1">
      <c r="A384" s="23"/>
      <c r="B384" s="15">
        <v>10</v>
      </c>
      <c r="C384" s="23">
        <f t="shared" si="137"/>
        <v>2410</v>
      </c>
      <c r="D384" s="24"/>
      <c r="E384" s="25"/>
      <c r="F384" s="26"/>
      <c r="G384" s="27"/>
      <c r="H384" s="25"/>
      <c r="I384" s="27"/>
      <c r="J384" s="27"/>
      <c r="K384" s="28"/>
      <c r="L384" s="28"/>
      <c r="M384" s="28"/>
      <c r="N384" s="29"/>
      <c r="O384" s="29"/>
      <c r="P384" s="29"/>
    </row>
    <row r="385" spans="1:16" ht="11.25" customHeight="1" hidden="1">
      <c r="A385" s="23"/>
      <c r="B385" s="15">
        <v>11</v>
      </c>
      <c r="C385" s="23">
        <f t="shared" si="137"/>
        <v>2411</v>
      </c>
      <c r="D385" s="24"/>
      <c r="E385" s="25"/>
      <c r="F385" s="26"/>
      <c r="G385" s="27"/>
      <c r="H385" s="25"/>
      <c r="I385" s="27"/>
      <c r="J385" s="27"/>
      <c r="K385" s="28"/>
      <c r="L385" s="28"/>
      <c r="M385" s="28"/>
      <c r="N385" s="29"/>
      <c r="O385" s="29"/>
      <c r="P385" s="29"/>
    </row>
    <row r="386" spans="1:16" ht="11.25" customHeight="1" hidden="1">
      <c r="A386" s="23"/>
      <c r="B386" s="15">
        <v>12</v>
      </c>
      <c r="C386" s="23">
        <f t="shared" si="137"/>
        <v>2412</v>
      </c>
      <c r="D386" s="24"/>
      <c r="E386" s="25"/>
      <c r="F386" s="26"/>
      <c r="G386" s="27"/>
      <c r="H386" s="25"/>
      <c r="I386" s="27"/>
      <c r="J386" s="27"/>
      <c r="K386" s="28"/>
      <c r="L386" s="28"/>
      <c r="M386" s="28"/>
      <c r="N386" s="29"/>
      <c r="O386" s="29"/>
      <c r="P386" s="29"/>
    </row>
    <row r="387" spans="1:16" ht="11.25" customHeight="1" hidden="1">
      <c r="A387" s="23"/>
      <c r="B387" s="15">
        <v>13</v>
      </c>
      <c r="C387" s="23">
        <f t="shared" si="137"/>
        <v>2413</v>
      </c>
      <c r="D387" s="24"/>
      <c r="E387" s="25"/>
      <c r="F387" s="26"/>
      <c r="G387" s="27"/>
      <c r="H387" s="25"/>
      <c r="I387" s="27"/>
      <c r="J387" s="27"/>
      <c r="K387" s="28"/>
      <c r="L387" s="28"/>
      <c r="M387" s="28"/>
      <c r="N387" s="29"/>
      <c r="O387" s="29"/>
      <c r="P387" s="29"/>
    </row>
    <row r="388" spans="1:16" ht="11.25" customHeight="1" hidden="1">
      <c r="A388" s="23"/>
      <c r="B388" s="15">
        <v>14</v>
      </c>
      <c r="C388" s="23">
        <f t="shared" si="137"/>
        <v>2414</v>
      </c>
      <c r="D388" s="24"/>
      <c r="E388" s="25"/>
      <c r="F388" s="26"/>
      <c r="G388" s="27"/>
      <c r="H388" s="25"/>
      <c r="I388" s="27"/>
      <c r="J388" s="27"/>
      <c r="K388" s="28"/>
      <c r="L388" s="28"/>
      <c r="M388" s="28"/>
      <c r="N388" s="29"/>
      <c r="O388" s="29"/>
      <c r="P388" s="29"/>
    </row>
    <row r="389" spans="1:16" ht="11.25" customHeight="1" hidden="1">
      <c r="A389" s="23"/>
      <c r="B389" s="15">
        <v>15</v>
      </c>
      <c r="C389" s="23">
        <f t="shared" si="137"/>
        <v>2415</v>
      </c>
      <c r="D389" s="24"/>
      <c r="E389" s="25"/>
      <c r="F389" s="26"/>
      <c r="G389" s="27"/>
      <c r="H389" s="25"/>
      <c r="I389" s="27"/>
      <c r="J389" s="27"/>
      <c r="K389" s="28"/>
      <c r="L389" s="28"/>
      <c r="M389" s="28"/>
      <c r="N389" s="29"/>
      <c r="O389" s="29"/>
      <c r="P389" s="29"/>
    </row>
    <row r="390" spans="1:16" ht="11.25" customHeight="1" hidden="1">
      <c r="A390" s="23"/>
      <c r="B390" s="15">
        <v>16</v>
      </c>
      <c r="C390" s="23">
        <f t="shared" si="137"/>
        <v>2416</v>
      </c>
      <c r="D390" s="24"/>
      <c r="E390" s="25"/>
      <c r="F390" s="26"/>
      <c r="G390" s="27"/>
      <c r="H390" s="25"/>
      <c r="I390" s="27"/>
      <c r="J390" s="27"/>
      <c r="K390" s="28"/>
      <c r="L390" s="28"/>
      <c r="M390" s="28"/>
      <c r="N390" s="29"/>
      <c r="O390" s="29"/>
      <c r="P390" s="29"/>
    </row>
    <row r="391" spans="1:16" ht="11.25">
      <c r="A391" s="23">
        <v>25</v>
      </c>
      <c r="B391" s="15">
        <v>1</v>
      </c>
      <c r="C391" s="23">
        <f>$A$391*100+B391</f>
        <v>2501</v>
      </c>
      <c r="D391" s="24">
        <f>pol!D391</f>
        <v>28</v>
      </c>
      <c r="E391" s="25" t="str">
        <f>pol!E391</f>
        <v>STD</v>
      </c>
      <c r="F391" s="26">
        <f>pol!F391*25.4</f>
        <v>711.1999999999999</v>
      </c>
      <c r="G391" s="27">
        <f>pol!G391*25.4</f>
        <v>9.524999999999999</v>
      </c>
      <c r="H391" s="25">
        <f>F391-2*G391</f>
        <v>692.15</v>
      </c>
      <c r="I391" s="27">
        <f>PI()*(F391^2-H391^2)/400</f>
        <v>209.96691165102519</v>
      </c>
      <c r="J391" s="27">
        <f>PI()*H391^2/400</f>
        <v>3762.619724473356</v>
      </c>
      <c r="K391" s="28">
        <f>0.785*I391</f>
        <v>164.82402564605476</v>
      </c>
      <c r="L391" s="28">
        <f t="shared" si="118"/>
        <v>376.26197244733567</v>
      </c>
      <c r="M391" s="28">
        <f t="shared" si="119"/>
        <v>541.0859980933905</v>
      </c>
      <c r="N391" s="29">
        <f t="shared" si="113"/>
        <v>129244.74698066142</v>
      </c>
      <c r="O391" s="29">
        <f t="shared" si="114"/>
        <v>3634.5541895574083</v>
      </c>
      <c r="P391" s="29">
        <f>SQRT(N391/I391)</f>
        <v>24.81024312783933</v>
      </c>
    </row>
    <row r="392" spans="1:16" ht="11.25">
      <c r="A392" s="23"/>
      <c r="B392" s="15">
        <v>2</v>
      </c>
      <c r="C392" s="23">
        <f aca="true" t="shared" si="138" ref="C392:C406">$A$391*100+B392</f>
        <v>2502</v>
      </c>
      <c r="D392" s="24">
        <f>pol!D392</f>
        <v>28</v>
      </c>
      <c r="E392" s="25" t="str">
        <f>pol!E392</f>
        <v>XS</v>
      </c>
      <c r="F392" s="26">
        <f>pol!F392*25.4</f>
        <v>711.1999999999999</v>
      </c>
      <c r="G392" s="27">
        <f>pol!G392*25.4</f>
        <v>12.7</v>
      </c>
      <c r="H392" s="25">
        <f>F392-2*G392</f>
        <v>685.8</v>
      </c>
      <c r="I392" s="27">
        <f>PI()*(F392^2-H392^2)/400</f>
        <v>278.6891135036232</v>
      </c>
      <c r="J392" s="27">
        <f>PI()*H392^2/400</f>
        <v>3693.8975226207585</v>
      </c>
      <c r="K392" s="28">
        <f>0.785*I392</f>
        <v>218.77095410034423</v>
      </c>
      <c r="L392" s="28">
        <f t="shared" si="118"/>
        <v>369.3897522620759</v>
      </c>
      <c r="M392" s="28">
        <f t="shared" si="119"/>
        <v>588.1607063624201</v>
      </c>
      <c r="N392" s="29">
        <f t="shared" si="113"/>
        <v>170022.49412005025</v>
      </c>
      <c r="O392" s="29">
        <f t="shared" si="114"/>
        <v>4781.284986503101</v>
      </c>
      <c r="P392" s="29">
        <f>SQRT(N392/I392)</f>
        <v>24.699785930246446</v>
      </c>
    </row>
    <row r="393" spans="1:16" ht="11.25" customHeight="1" hidden="1">
      <c r="A393" s="23"/>
      <c r="B393" s="15">
        <v>3</v>
      </c>
      <c r="C393" s="23">
        <f t="shared" si="138"/>
        <v>2503</v>
      </c>
      <c r="D393" s="24"/>
      <c r="E393" s="25"/>
      <c r="F393" s="26"/>
      <c r="G393" s="27"/>
      <c r="H393" s="25"/>
      <c r="I393" s="27"/>
      <c r="J393" s="27"/>
      <c r="K393" s="28"/>
      <c r="L393" s="28"/>
      <c r="M393" s="28"/>
      <c r="N393" s="29"/>
      <c r="O393" s="29"/>
      <c r="P393" s="29"/>
    </row>
    <row r="394" spans="1:16" ht="11.25" customHeight="1" hidden="1">
      <c r="A394" s="23"/>
      <c r="B394" s="15">
        <v>4</v>
      </c>
      <c r="C394" s="23">
        <f t="shared" si="138"/>
        <v>2504</v>
      </c>
      <c r="D394" s="24"/>
      <c r="E394" s="25"/>
      <c r="F394" s="26"/>
      <c r="G394" s="27"/>
      <c r="H394" s="25"/>
      <c r="I394" s="27"/>
      <c r="J394" s="27"/>
      <c r="K394" s="28"/>
      <c r="L394" s="28"/>
      <c r="M394" s="28"/>
      <c r="N394" s="29"/>
      <c r="O394" s="29"/>
      <c r="P394" s="29"/>
    </row>
    <row r="395" spans="1:16" ht="11.25" customHeight="1" hidden="1">
      <c r="A395" s="23"/>
      <c r="B395" s="15">
        <v>5</v>
      </c>
      <c r="C395" s="23">
        <f t="shared" si="138"/>
        <v>2505</v>
      </c>
      <c r="D395" s="24"/>
      <c r="E395" s="25"/>
      <c r="F395" s="26"/>
      <c r="G395" s="27"/>
      <c r="H395" s="25"/>
      <c r="I395" s="27"/>
      <c r="J395" s="27"/>
      <c r="K395" s="28"/>
      <c r="L395" s="28"/>
      <c r="M395" s="28"/>
      <c r="N395" s="29"/>
      <c r="O395" s="29"/>
      <c r="P395" s="29"/>
    </row>
    <row r="396" spans="1:16" ht="11.25" customHeight="1" hidden="1">
      <c r="A396" s="23"/>
      <c r="B396" s="15">
        <v>6</v>
      </c>
      <c r="C396" s="23">
        <f t="shared" si="138"/>
        <v>2506</v>
      </c>
      <c r="D396" s="24"/>
      <c r="E396" s="25"/>
      <c r="F396" s="26"/>
      <c r="G396" s="27"/>
      <c r="H396" s="25"/>
      <c r="I396" s="27"/>
      <c r="J396" s="27"/>
      <c r="K396" s="28"/>
      <c r="L396" s="28"/>
      <c r="M396" s="28"/>
      <c r="N396" s="29"/>
      <c r="O396" s="29"/>
      <c r="P396" s="29"/>
    </row>
    <row r="397" spans="1:16" ht="11.25" customHeight="1" hidden="1">
      <c r="A397" s="23"/>
      <c r="B397" s="15">
        <v>7</v>
      </c>
      <c r="C397" s="23">
        <f t="shared" si="138"/>
        <v>2507</v>
      </c>
      <c r="D397" s="24"/>
      <c r="E397" s="25"/>
      <c r="F397" s="26"/>
      <c r="G397" s="27"/>
      <c r="H397" s="25"/>
      <c r="I397" s="27"/>
      <c r="J397" s="27"/>
      <c r="K397" s="28"/>
      <c r="L397" s="28"/>
      <c r="M397" s="28"/>
      <c r="N397" s="29"/>
      <c r="O397" s="29"/>
      <c r="P397" s="29"/>
    </row>
    <row r="398" spans="1:16" ht="11.25" customHeight="1" hidden="1">
      <c r="A398" s="23"/>
      <c r="B398" s="15">
        <v>8</v>
      </c>
      <c r="C398" s="23">
        <f t="shared" si="138"/>
        <v>2508</v>
      </c>
      <c r="D398" s="24"/>
      <c r="E398" s="25"/>
      <c r="F398" s="26"/>
      <c r="G398" s="27"/>
      <c r="H398" s="25"/>
      <c r="I398" s="27"/>
      <c r="J398" s="27"/>
      <c r="K398" s="28"/>
      <c r="L398" s="28"/>
      <c r="M398" s="28"/>
      <c r="N398" s="29"/>
      <c r="O398" s="29"/>
      <c r="P398" s="29"/>
    </row>
    <row r="399" spans="1:16" ht="11.25" customHeight="1" hidden="1">
      <c r="A399" s="23"/>
      <c r="B399" s="15">
        <v>9</v>
      </c>
      <c r="C399" s="23">
        <f t="shared" si="138"/>
        <v>2509</v>
      </c>
      <c r="D399" s="24"/>
      <c r="E399" s="25"/>
      <c r="F399" s="26"/>
      <c r="G399" s="27"/>
      <c r="H399" s="25"/>
      <c r="I399" s="27"/>
      <c r="J399" s="27"/>
      <c r="K399" s="28"/>
      <c r="L399" s="28"/>
      <c r="M399" s="28"/>
      <c r="N399" s="29"/>
      <c r="O399" s="29"/>
      <c r="P399" s="29"/>
    </row>
    <row r="400" spans="1:16" ht="11.25" customHeight="1" hidden="1">
      <c r="A400" s="23"/>
      <c r="B400" s="15">
        <v>10</v>
      </c>
      <c r="C400" s="23">
        <f t="shared" si="138"/>
        <v>2510</v>
      </c>
      <c r="D400" s="24"/>
      <c r="E400" s="25"/>
      <c r="F400" s="26"/>
      <c r="G400" s="27"/>
      <c r="H400" s="25"/>
      <c r="I400" s="27"/>
      <c r="J400" s="27"/>
      <c r="K400" s="28"/>
      <c r="L400" s="28"/>
      <c r="M400" s="28"/>
      <c r="N400" s="29"/>
      <c r="O400" s="29"/>
      <c r="P400" s="29"/>
    </row>
    <row r="401" spans="1:16" ht="11.25" customHeight="1" hidden="1">
      <c r="A401" s="23"/>
      <c r="B401" s="15">
        <v>11</v>
      </c>
      <c r="C401" s="23">
        <f t="shared" si="138"/>
        <v>2511</v>
      </c>
      <c r="D401" s="24"/>
      <c r="E401" s="25"/>
      <c r="F401" s="26"/>
      <c r="G401" s="27"/>
      <c r="H401" s="25"/>
      <c r="I401" s="27"/>
      <c r="J401" s="27"/>
      <c r="K401" s="28"/>
      <c r="L401" s="28"/>
      <c r="M401" s="28"/>
      <c r="N401" s="29"/>
      <c r="O401" s="29"/>
      <c r="P401" s="29"/>
    </row>
    <row r="402" spans="1:16" ht="11.25" customHeight="1" hidden="1">
      <c r="A402" s="23"/>
      <c r="B402" s="15">
        <v>12</v>
      </c>
      <c r="C402" s="23">
        <f t="shared" si="138"/>
        <v>2512</v>
      </c>
      <c r="D402" s="24"/>
      <c r="E402" s="25"/>
      <c r="F402" s="26"/>
      <c r="G402" s="27"/>
      <c r="H402" s="25"/>
      <c r="I402" s="27"/>
      <c r="J402" s="27"/>
      <c r="K402" s="28"/>
      <c r="L402" s="28"/>
      <c r="M402" s="28"/>
      <c r="N402" s="29"/>
      <c r="O402" s="29"/>
      <c r="P402" s="29"/>
    </row>
    <row r="403" spans="1:16" ht="11.25" customHeight="1" hidden="1">
      <c r="A403" s="23"/>
      <c r="B403" s="15">
        <v>13</v>
      </c>
      <c r="C403" s="23">
        <f t="shared" si="138"/>
        <v>2513</v>
      </c>
      <c r="D403" s="24"/>
      <c r="E403" s="25"/>
      <c r="F403" s="26"/>
      <c r="G403" s="27"/>
      <c r="H403" s="25"/>
      <c r="I403" s="27"/>
      <c r="J403" s="27"/>
      <c r="K403" s="28"/>
      <c r="L403" s="28"/>
      <c r="M403" s="28"/>
      <c r="N403" s="29"/>
      <c r="O403" s="29"/>
      <c r="P403" s="29"/>
    </row>
    <row r="404" spans="1:16" ht="11.25" customHeight="1" hidden="1">
      <c r="A404" s="23"/>
      <c r="B404" s="15">
        <v>14</v>
      </c>
      <c r="C404" s="23">
        <f t="shared" si="138"/>
        <v>2514</v>
      </c>
      <c r="D404" s="24"/>
      <c r="E404" s="25"/>
      <c r="F404" s="26"/>
      <c r="G404" s="27"/>
      <c r="H404" s="25"/>
      <c r="I404" s="27"/>
      <c r="J404" s="27"/>
      <c r="K404" s="28"/>
      <c r="L404" s="28"/>
      <c r="M404" s="28"/>
      <c r="N404" s="29"/>
      <c r="O404" s="29"/>
      <c r="P404" s="29"/>
    </row>
    <row r="405" spans="1:16" ht="11.25" customHeight="1" hidden="1">
      <c r="A405" s="23"/>
      <c r="B405" s="15">
        <v>15</v>
      </c>
      <c r="C405" s="23">
        <f t="shared" si="138"/>
        <v>2515</v>
      </c>
      <c r="D405" s="24"/>
      <c r="E405" s="25"/>
      <c r="F405" s="26"/>
      <c r="G405" s="27"/>
      <c r="H405" s="25"/>
      <c r="I405" s="27"/>
      <c r="J405" s="27"/>
      <c r="K405" s="28"/>
      <c r="L405" s="28"/>
      <c r="M405" s="28"/>
      <c r="N405" s="29"/>
      <c r="O405" s="29"/>
      <c r="P405" s="29"/>
    </row>
    <row r="406" spans="1:16" ht="11.25" customHeight="1" hidden="1">
      <c r="A406" s="23"/>
      <c r="B406" s="15">
        <v>16</v>
      </c>
      <c r="C406" s="23">
        <f t="shared" si="138"/>
        <v>2516</v>
      </c>
      <c r="D406" s="24"/>
      <c r="E406" s="25"/>
      <c r="F406" s="26"/>
      <c r="G406" s="27"/>
      <c r="H406" s="25"/>
      <c r="I406" s="27"/>
      <c r="J406" s="27"/>
      <c r="K406" s="28"/>
      <c r="L406" s="28"/>
      <c r="M406" s="28"/>
      <c r="N406" s="29"/>
      <c r="O406" s="29"/>
      <c r="P406" s="29"/>
    </row>
    <row r="407" spans="1:16" ht="11.25">
      <c r="A407" s="23">
        <v>26</v>
      </c>
      <c r="B407" s="15">
        <v>1</v>
      </c>
      <c r="C407" s="23">
        <f>$A$407*100+B407</f>
        <v>2601</v>
      </c>
      <c r="D407" s="24">
        <f>pol!D407</f>
        <v>30</v>
      </c>
      <c r="E407" s="25" t="str">
        <f>pol!E407</f>
        <v>5s</v>
      </c>
      <c r="F407" s="26">
        <f>pol!F407*25.4</f>
        <v>762</v>
      </c>
      <c r="G407" s="27">
        <f>pol!G407*25.4</f>
        <v>6.35</v>
      </c>
      <c r="H407" s="25">
        <f aca="true" t="shared" si="139" ref="H407:H413">F407-2*G407</f>
        <v>749.3</v>
      </c>
      <c r="I407" s="27">
        <f aca="true" t="shared" si="140" ref="I407:I413">PI()*(F407^2-H407^2)/400</f>
        <v>150.74547503150654</v>
      </c>
      <c r="J407" s="27">
        <f aca="true" t="shared" si="141" ref="J407:J413">PI()*H407^2/400</f>
        <v>4409.621836845973</v>
      </c>
      <c r="K407" s="28">
        <f aca="true" t="shared" si="142" ref="K407:K413">0.785*I407</f>
        <v>118.33519789973265</v>
      </c>
      <c r="L407" s="28">
        <f aca="true" t="shared" si="143" ref="L407:L413">J407*0.1</f>
        <v>440.96218368459733</v>
      </c>
      <c r="M407" s="28">
        <f aca="true" t="shared" si="144" ref="M407:M413">L407+K407</f>
        <v>559.29738158433</v>
      </c>
      <c r="N407" s="29">
        <f t="shared" si="113"/>
        <v>107603.48526619781</v>
      </c>
      <c r="O407" s="29">
        <f t="shared" si="114"/>
        <v>2824.2384584303886</v>
      </c>
      <c r="P407" s="29">
        <f aca="true" t="shared" si="145" ref="P407:P413">SQRT(N407/I407)</f>
        <v>26.717205247742534</v>
      </c>
    </row>
    <row r="408" spans="1:16" ht="11.25">
      <c r="A408" s="23"/>
      <c r="B408" s="15">
        <v>2</v>
      </c>
      <c r="C408" s="23">
        <f aca="true" t="shared" si="146" ref="C408:C422">$A$407*100+B408</f>
        <v>2602</v>
      </c>
      <c r="D408" s="24">
        <f>pol!D408</f>
        <v>30</v>
      </c>
      <c r="E408" s="25" t="str">
        <f>pol!E408</f>
        <v>10s</v>
      </c>
      <c r="F408" s="26">
        <f>pol!F408*25.4</f>
        <v>762</v>
      </c>
      <c r="G408" s="27">
        <f>pol!G408*25.4</f>
        <v>7.924799999999999</v>
      </c>
      <c r="H408" s="25">
        <f t="shared" si="139"/>
        <v>746.1504</v>
      </c>
      <c r="I408" s="27">
        <f t="shared" si="140"/>
        <v>187.73828286029246</v>
      </c>
      <c r="J408" s="27">
        <f t="shared" si="141"/>
        <v>4372.629029017187</v>
      </c>
      <c r="K408" s="28">
        <f t="shared" si="142"/>
        <v>147.37455204532958</v>
      </c>
      <c r="L408" s="28">
        <f t="shared" si="143"/>
        <v>437.26290290171875</v>
      </c>
      <c r="M408" s="28">
        <f t="shared" si="144"/>
        <v>584.6374549470484</v>
      </c>
      <c r="N408" s="29">
        <f t="shared" si="113"/>
        <v>133456.62365874552</v>
      </c>
      <c r="O408" s="29">
        <f t="shared" si="114"/>
        <v>3502.7985212269164</v>
      </c>
      <c r="P408" s="29">
        <f t="shared" si="145"/>
        <v>26.662056599925002</v>
      </c>
    </row>
    <row r="409" spans="1:16" ht="11.25">
      <c r="A409" s="23"/>
      <c r="B409" s="15">
        <v>3</v>
      </c>
      <c r="C409" s="23">
        <f t="shared" si="146"/>
        <v>2603</v>
      </c>
      <c r="D409" s="24">
        <f>pol!D409</f>
        <v>30</v>
      </c>
      <c r="E409" s="25">
        <f>pol!E409</f>
        <v>10</v>
      </c>
      <c r="F409" s="26">
        <f>pol!F409*25.4</f>
        <v>762</v>
      </c>
      <c r="G409" s="27">
        <f>pol!G409*25.4</f>
        <v>7.924799999999999</v>
      </c>
      <c r="H409" s="25">
        <f t="shared" si="139"/>
        <v>746.1504</v>
      </c>
      <c r="I409" s="27">
        <f t="shared" si="140"/>
        <v>187.73828286029246</v>
      </c>
      <c r="J409" s="27">
        <f t="shared" si="141"/>
        <v>4372.629029017187</v>
      </c>
      <c r="K409" s="28">
        <f t="shared" si="142"/>
        <v>147.37455204532958</v>
      </c>
      <c r="L409" s="28">
        <f t="shared" si="143"/>
        <v>437.26290290171875</v>
      </c>
      <c r="M409" s="28">
        <f t="shared" si="144"/>
        <v>584.6374549470484</v>
      </c>
      <c r="N409" s="29">
        <f t="shared" si="113"/>
        <v>133456.62365874552</v>
      </c>
      <c r="O409" s="29">
        <f t="shared" si="114"/>
        <v>3502.7985212269164</v>
      </c>
      <c r="P409" s="29">
        <f t="shared" si="145"/>
        <v>26.662056599925002</v>
      </c>
    </row>
    <row r="410" spans="1:16" ht="11.25">
      <c r="A410" s="23"/>
      <c r="B410" s="15">
        <v>4</v>
      </c>
      <c r="C410" s="23">
        <f t="shared" si="146"/>
        <v>2604</v>
      </c>
      <c r="D410" s="24">
        <f>pol!D410</f>
        <v>30</v>
      </c>
      <c r="E410" s="25" t="str">
        <f>pol!E410</f>
        <v>STD</v>
      </c>
      <c r="F410" s="26">
        <f>pol!F410*25.4</f>
        <v>762</v>
      </c>
      <c r="G410" s="27">
        <f>pol!G410*25.4</f>
        <v>9.524999999999999</v>
      </c>
      <c r="H410" s="25">
        <f t="shared" si="139"/>
        <v>742.95</v>
      </c>
      <c r="I410" s="27">
        <f t="shared" si="140"/>
        <v>225.16813602395044</v>
      </c>
      <c r="J410" s="27">
        <f t="shared" si="141"/>
        <v>4335.199175853529</v>
      </c>
      <c r="K410" s="28">
        <f t="shared" si="142"/>
        <v>176.7569867788011</v>
      </c>
      <c r="L410" s="28">
        <f t="shared" si="143"/>
        <v>433.5199175853529</v>
      </c>
      <c r="M410" s="28">
        <f t="shared" si="144"/>
        <v>610.276904364154</v>
      </c>
      <c r="N410" s="29">
        <f t="shared" si="113"/>
        <v>159393.52629236912</v>
      </c>
      <c r="O410" s="29">
        <f t="shared" si="114"/>
        <v>4183.557120534622</v>
      </c>
      <c r="P410" s="29">
        <f t="shared" si="145"/>
        <v>26.606140063197838</v>
      </c>
    </row>
    <row r="411" spans="1:16" ht="11.25">
      <c r="A411" s="23"/>
      <c r="B411" s="15">
        <v>5</v>
      </c>
      <c r="C411" s="23">
        <f t="shared" si="146"/>
        <v>2605</v>
      </c>
      <c r="D411" s="24">
        <f>pol!D411</f>
        <v>30</v>
      </c>
      <c r="E411" s="25">
        <f>pol!E411</f>
        <v>20</v>
      </c>
      <c r="F411" s="26">
        <f>pol!F411*25.4</f>
        <v>762</v>
      </c>
      <c r="G411" s="27">
        <f>pol!G411*25.4</f>
        <v>12.7</v>
      </c>
      <c r="H411" s="25">
        <f t="shared" si="139"/>
        <v>736.6</v>
      </c>
      <c r="I411" s="27">
        <f t="shared" si="140"/>
        <v>298.9574126675232</v>
      </c>
      <c r="J411" s="27">
        <f t="shared" si="141"/>
        <v>4261.409899209957</v>
      </c>
      <c r="K411" s="28">
        <f t="shared" si="142"/>
        <v>234.68156894400573</v>
      </c>
      <c r="L411" s="28">
        <f t="shared" si="143"/>
        <v>426.1409899209957</v>
      </c>
      <c r="M411" s="28">
        <f t="shared" si="144"/>
        <v>660.8225588650014</v>
      </c>
      <c r="N411" s="29">
        <f>PI()*(($F411/10)^4-($H411/10)^4)/64</f>
        <v>209872.5058405038</v>
      </c>
      <c r="O411" s="29">
        <f>PI()*(($F411/10)^4-($H411/10)^4)/(32*($F411/10))</f>
        <v>5508.464720223197</v>
      </c>
      <c r="P411" s="29">
        <f t="shared" si="145"/>
        <v>26.495560477181897</v>
      </c>
    </row>
    <row r="412" spans="1:16" ht="11.25">
      <c r="A412" s="23"/>
      <c r="B412" s="15">
        <v>6</v>
      </c>
      <c r="C412" s="23">
        <f t="shared" si="146"/>
        <v>2606</v>
      </c>
      <c r="D412" s="24">
        <f>pol!D412</f>
        <v>30</v>
      </c>
      <c r="E412" s="25" t="str">
        <f>pol!E412</f>
        <v>XS</v>
      </c>
      <c r="F412" s="26">
        <f>pol!F412*25.4</f>
        <v>762</v>
      </c>
      <c r="G412" s="27">
        <f>pol!G412*25.4</f>
        <v>12.7</v>
      </c>
      <c r="H412" s="25">
        <f t="shared" si="139"/>
        <v>736.6</v>
      </c>
      <c r="I412" s="27">
        <f t="shared" si="140"/>
        <v>298.9574126675232</v>
      </c>
      <c r="J412" s="27">
        <f t="shared" si="141"/>
        <v>4261.409899209957</v>
      </c>
      <c r="K412" s="28">
        <f t="shared" si="142"/>
        <v>234.68156894400573</v>
      </c>
      <c r="L412" s="28">
        <f t="shared" si="143"/>
        <v>426.1409899209957</v>
      </c>
      <c r="M412" s="28">
        <f t="shared" si="144"/>
        <v>660.8225588650014</v>
      </c>
      <c r="N412" s="29">
        <f>PI()*(($F412/10)^4-($H412/10)^4)/64</f>
        <v>209872.5058405038</v>
      </c>
      <c r="O412" s="29">
        <f>PI()*(($F412/10)^4-($H412/10)^4)/(32*($F412/10))</f>
        <v>5508.464720223197</v>
      </c>
      <c r="P412" s="29">
        <f t="shared" si="145"/>
        <v>26.495560477181897</v>
      </c>
    </row>
    <row r="413" spans="1:16" ht="11.25">
      <c r="A413" s="23"/>
      <c r="B413" s="15">
        <v>7</v>
      </c>
      <c r="C413" s="23">
        <f t="shared" si="146"/>
        <v>2607</v>
      </c>
      <c r="D413" s="24">
        <f>pol!D413</f>
        <v>30</v>
      </c>
      <c r="E413" s="25">
        <f>pol!E413</f>
        <v>30</v>
      </c>
      <c r="F413" s="26">
        <f>pol!F413*25.4</f>
        <v>762</v>
      </c>
      <c r="G413" s="27">
        <f>pol!G413*25.4</f>
        <v>15.875</v>
      </c>
      <c r="H413" s="25">
        <f t="shared" si="139"/>
        <v>730.25</v>
      </c>
      <c r="I413" s="27">
        <f t="shared" si="140"/>
        <v>372.11330496222484</v>
      </c>
      <c r="J413" s="27">
        <f t="shared" si="141"/>
        <v>4188.254006915255</v>
      </c>
      <c r="K413" s="28">
        <f t="shared" si="142"/>
        <v>292.1089443953465</v>
      </c>
      <c r="L413" s="28">
        <f t="shared" si="143"/>
        <v>418.8254006915255</v>
      </c>
      <c r="M413" s="28">
        <f t="shared" si="144"/>
        <v>710.934345086872</v>
      </c>
      <c r="N413" s="29">
        <f>PI()*(($F413/10)^4-($H413/10)^4)/64</f>
        <v>259062.7391714051</v>
      </c>
      <c r="O413" s="29">
        <f>PI()*(($F413/10)^4-($H413/10)^4)/(32*($F413/10))</f>
        <v>6799.546959879399</v>
      </c>
      <c r="P413" s="29">
        <f t="shared" si="145"/>
        <v>26.385472595019014</v>
      </c>
    </row>
    <row r="414" spans="1:16" ht="11.25" customHeight="1" hidden="1">
      <c r="A414" s="23"/>
      <c r="B414" s="15">
        <v>8</v>
      </c>
      <c r="C414" s="23">
        <f t="shared" si="146"/>
        <v>2608</v>
      </c>
      <c r="D414" s="24"/>
      <c r="E414" s="25"/>
      <c r="F414" s="26"/>
      <c r="G414" s="27"/>
      <c r="H414" s="25"/>
      <c r="I414" s="27"/>
      <c r="J414" s="27"/>
      <c r="K414" s="28"/>
      <c r="L414" s="28"/>
      <c r="M414" s="28"/>
      <c r="N414" s="29"/>
      <c r="O414" s="29"/>
      <c r="P414" s="29"/>
    </row>
    <row r="415" spans="1:16" ht="11.25" customHeight="1" hidden="1">
      <c r="A415" s="23"/>
      <c r="B415" s="15">
        <v>9</v>
      </c>
      <c r="C415" s="23">
        <f t="shared" si="146"/>
        <v>2609</v>
      </c>
      <c r="D415" s="24"/>
      <c r="E415" s="25"/>
      <c r="F415" s="26"/>
      <c r="G415" s="27"/>
      <c r="H415" s="25"/>
      <c r="I415" s="27"/>
      <c r="J415" s="27"/>
      <c r="K415" s="28"/>
      <c r="L415" s="28"/>
      <c r="M415" s="28"/>
      <c r="N415" s="29"/>
      <c r="O415" s="29"/>
      <c r="P415" s="29"/>
    </row>
    <row r="416" spans="1:16" ht="11.25" customHeight="1" hidden="1">
      <c r="A416" s="23"/>
      <c r="B416" s="15">
        <v>10</v>
      </c>
      <c r="C416" s="23">
        <f t="shared" si="146"/>
        <v>2610</v>
      </c>
      <c r="D416" s="24"/>
      <c r="E416" s="25"/>
      <c r="F416" s="26"/>
      <c r="G416" s="27"/>
      <c r="H416" s="25"/>
      <c r="I416" s="27"/>
      <c r="J416" s="27"/>
      <c r="K416" s="28"/>
      <c r="L416" s="28"/>
      <c r="M416" s="28"/>
      <c r="N416" s="29"/>
      <c r="O416" s="29"/>
      <c r="P416" s="29"/>
    </row>
    <row r="417" spans="1:16" ht="11.25" customHeight="1" hidden="1">
      <c r="A417" s="23"/>
      <c r="B417" s="15">
        <v>11</v>
      </c>
      <c r="C417" s="23">
        <f t="shared" si="146"/>
        <v>2611</v>
      </c>
      <c r="D417" s="24"/>
      <c r="E417" s="25"/>
      <c r="F417" s="26"/>
      <c r="G417" s="27"/>
      <c r="H417" s="25"/>
      <c r="I417" s="27"/>
      <c r="J417" s="27"/>
      <c r="K417" s="28"/>
      <c r="L417" s="28"/>
      <c r="M417" s="28"/>
      <c r="N417" s="29"/>
      <c r="O417" s="29"/>
      <c r="P417" s="29"/>
    </row>
    <row r="418" spans="1:16" ht="11.25" customHeight="1" hidden="1">
      <c r="A418" s="23"/>
      <c r="B418" s="15">
        <v>12</v>
      </c>
      <c r="C418" s="23">
        <f t="shared" si="146"/>
        <v>2612</v>
      </c>
      <c r="D418" s="24"/>
      <c r="E418" s="25"/>
      <c r="F418" s="26"/>
      <c r="G418" s="27"/>
      <c r="H418" s="25"/>
      <c r="I418" s="27"/>
      <c r="J418" s="27"/>
      <c r="K418" s="28"/>
      <c r="L418" s="28"/>
      <c r="M418" s="28"/>
      <c r="N418" s="29"/>
      <c r="O418" s="29"/>
      <c r="P418" s="29"/>
    </row>
    <row r="419" spans="1:16" ht="11.25" customHeight="1" hidden="1">
      <c r="A419" s="23"/>
      <c r="B419" s="15">
        <v>13</v>
      </c>
      <c r="C419" s="23">
        <f t="shared" si="146"/>
        <v>2613</v>
      </c>
      <c r="D419" s="24"/>
      <c r="E419" s="25"/>
      <c r="F419" s="26"/>
      <c r="G419" s="27"/>
      <c r="H419" s="25"/>
      <c r="I419" s="27"/>
      <c r="J419" s="27"/>
      <c r="K419" s="28"/>
      <c r="L419" s="28"/>
      <c r="M419" s="28"/>
      <c r="N419" s="29"/>
      <c r="O419" s="29"/>
      <c r="P419" s="29"/>
    </row>
    <row r="420" spans="1:16" ht="11.25" customHeight="1" hidden="1">
      <c r="A420" s="23"/>
      <c r="B420" s="15">
        <v>14</v>
      </c>
      <c r="C420" s="23">
        <f t="shared" si="146"/>
        <v>2614</v>
      </c>
      <c r="D420" s="24"/>
      <c r="E420" s="25"/>
      <c r="F420" s="26"/>
      <c r="G420" s="27"/>
      <c r="H420" s="25"/>
      <c r="I420" s="27"/>
      <c r="J420" s="27"/>
      <c r="K420" s="28"/>
      <c r="L420" s="28"/>
      <c r="M420" s="28"/>
      <c r="N420" s="29"/>
      <c r="O420" s="29"/>
      <c r="P420" s="29"/>
    </row>
    <row r="421" spans="1:16" ht="11.25" customHeight="1" hidden="1">
      <c r="A421" s="23"/>
      <c r="B421" s="15">
        <v>15</v>
      </c>
      <c r="C421" s="23">
        <f t="shared" si="146"/>
        <v>2615</v>
      </c>
      <c r="D421" s="24"/>
      <c r="E421" s="25"/>
      <c r="F421" s="26"/>
      <c r="G421" s="27"/>
      <c r="H421" s="25"/>
      <c r="I421" s="27"/>
      <c r="J421" s="27"/>
      <c r="K421" s="28"/>
      <c r="L421" s="28"/>
      <c r="M421" s="28"/>
      <c r="N421" s="29"/>
      <c r="O421" s="29"/>
      <c r="P421" s="29"/>
    </row>
    <row r="422" spans="1:16" ht="11.25" customHeight="1" hidden="1">
      <c r="A422" s="23"/>
      <c r="B422" s="15">
        <v>16</v>
      </c>
      <c r="C422" s="23">
        <f t="shared" si="146"/>
        <v>2616</v>
      </c>
      <c r="D422" s="24"/>
      <c r="E422" s="25"/>
      <c r="F422" s="26"/>
      <c r="G422" s="27"/>
      <c r="H422" s="25"/>
      <c r="I422" s="27"/>
      <c r="J422" s="27"/>
      <c r="K422" s="28"/>
      <c r="L422" s="28"/>
      <c r="M422" s="28"/>
      <c r="N422" s="29"/>
      <c r="O422" s="29"/>
      <c r="P422" s="29"/>
    </row>
    <row r="423" spans="1:16" ht="11.25">
      <c r="A423" s="23">
        <v>27</v>
      </c>
      <c r="B423" s="15">
        <v>1</v>
      </c>
      <c r="C423" s="23">
        <f>$A$423*100+B423</f>
        <v>2701</v>
      </c>
      <c r="D423" s="24">
        <f>pol!D423</f>
        <v>32</v>
      </c>
      <c r="E423" s="25" t="str">
        <f>pol!E423</f>
        <v>STD</v>
      </c>
      <c r="F423" s="26">
        <f>pol!F423*25.4</f>
        <v>812.8</v>
      </c>
      <c r="G423" s="27">
        <f>pol!G423*25.4</f>
        <v>9.524999999999999</v>
      </c>
      <c r="H423" s="25">
        <f>F423-2*G423</f>
        <v>793.75</v>
      </c>
      <c r="I423" s="27">
        <f>PI()*(F423^2-H423^2)/400</f>
        <v>240.36936039687524</v>
      </c>
      <c r="J423" s="27">
        <f>PI()*H423^2/400</f>
        <v>4948.315225561501</v>
      </c>
      <c r="K423" s="28">
        <f>0.785*I423</f>
        <v>188.68994791154708</v>
      </c>
      <c r="L423" s="28">
        <f>J423*0.1</f>
        <v>494.83152255615016</v>
      </c>
      <c r="M423" s="28">
        <f>L423+K423</f>
        <v>683.5214704676972</v>
      </c>
      <c r="N423" s="29">
        <f>PI()*(($F423/10)^4-($H423/10)^4)/64</f>
        <v>193900.38984319227</v>
      </c>
      <c r="O423" s="29">
        <f>PI()*(($F423/10)^4-($H423/10)^4)/(32*($F423/10))</f>
        <v>4771.1710099210695</v>
      </c>
      <c r="P423" s="29">
        <f>SQRT(N423/I423)</f>
        <v>28.402056511148984</v>
      </c>
    </row>
    <row r="424" spans="1:16" ht="11.25">
      <c r="A424" s="23"/>
      <c r="B424" s="15">
        <v>2</v>
      </c>
      <c r="C424" s="23">
        <f aca="true" t="shared" si="147" ref="C424:C438">$A$423*100+B424</f>
        <v>2702</v>
      </c>
      <c r="D424" s="24">
        <f>pol!D424</f>
        <v>32</v>
      </c>
      <c r="E424" s="25" t="str">
        <f>pol!E424</f>
        <v>XS</v>
      </c>
      <c r="F424" s="26">
        <f>pol!F424*25.4</f>
        <v>812.8</v>
      </c>
      <c r="G424" s="27">
        <f>pol!G424*25.4</f>
        <v>12.7</v>
      </c>
      <c r="H424" s="25">
        <f>F424-2*G424</f>
        <v>787.4</v>
      </c>
      <c r="I424" s="27">
        <f>PI()*(F424^2-H424^2)/400</f>
        <v>319.22571183142327</v>
      </c>
      <c r="J424" s="27">
        <f>PI()*H424^2/400</f>
        <v>4869.458874126954</v>
      </c>
      <c r="K424" s="28">
        <f>0.785*I424</f>
        <v>250.59218378766727</v>
      </c>
      <c r="L424" s="28">
        <f>J424*0.1</f>
        <v>486.94588741269536</v>
      </c>
      <c r="M424" s="28">
        <f>L424+K424</f>
        <v>737.5380712003627</v>
      </c>
      <c r="N424" s="29">
        <f>PI()*(($F424/10)^4-($H424/10)^4)/64</f>
        <v>255508.77849165344</v>
      </c>
      <c r="O424" s="29">
        <f>PI()*(($F424/10)^4-($H424/10)^4)/(32*($F424/10))</f>
        <v>6287.125455011157</v>
      </c>
      <c r="P424" s="29">
        <f>SQRT(N424/I424)</f>
        <v>28.29137015063077</v>
      </c>
    </row>
    <row r="425" spans="1:16" ht="11.25" customHeight="1" hidden="1">
      <c r="A425" s="23"/>
      <c r="B425" s="15">
        <v>3</v>
      </c>
      <c r="C425" s="23">
        <f t="shared" si="147"/>
        <v>2703</v>
      </c>
      <c r="D425" s="24"/>
      <c r="E425" s="25"/>
      <c r="F425" s="26"/>
      <c r="G425" s="27"/>
      <c r="H425" s="25"/>
      <c r="I425" s="27"/>
      <c r="J425" s="27"/>
      <c r="K425" s="28"/>
      <c r="L425" s="28"/>
      <c r="M425" s="28"/>
      <c r="N425" s="29"/>
      <c r="O425" s="29"/>
      <c r="P425" s="29"/>
    </row>
    <row r="426" spans="1:16" ht="11.25" customHeight="1" hidden="1">
      <c r="A426" s="23"/>
      <c r="B426" s="15">
        <v>4</v>
      </c>
      <c r="C426" s="23">
        <f t="shared" si="147"/>
        <v>2704</v>
      </c>
      <c r="D426" s="24"/>
      <c r="E426" s="25"/>
      <c r="F426" s="26"/>
      <c r="G426" s="27"/>
      <c r="H426" s="25"/>
      <c r="I426" s="27"/>
      <c r="J426" s="27"/>
      <c r="K426" s="28"/>
      <c r="L426" s="28"/>
      <c r="M426" s="28"/>
      <c r="N426" s="29"/>
      <c r="O426" s="29"/>
      <c r="P426" s="29"/>
    </row>
    <row r="427" spans="1:16" ht="11.25" customHeight="1" hidden="1">
      <c r="A427" s="23"/>
      <c r="B427" s="15">
        <v>5</v>
      </c>
      <c r="C427" s="23">
        <f t="shared" si="147"/>
        <v>2705</v>
      </c>
      <c r="D427" s="24"/>
      <c r="E427" s="25"/>
      <c r="F427" s="26"/>
      <c r="G427" s="27"/>
      <c r="H427" s="25"/>
      <c r="I427" s="27"/>
      <c r="J427" s="27"/>
      <c r="K427" s="28"/>
      <c r="L427" s="28"/>
      <c r="M427" s="28"/>
      <c r="N427" s="29"/>
      <c r="O427" s="29"/>
      <c r="P427" s="29"/>
    </row>
    <row r="428" spans="1:16" ht="11.25" customHeight="1" hidden="1">
      <c r="A428" s="23"/>
      <c r="B428" s="15">
        <v>6</v>
      </c>
      <c r="C428" s="23">
        <f t="shared" si="147"/>
        <v>2706</v>
      </c>
      <c r="D428" s="24"/>
      <c r="E428" s="25"/>
      <c r="F428" s="26"/>
      <c r="G428" s="27"/>
      <c r="H428" s="25"/>
      <c r="I428" s="27"/>
      <c r="J428" s="27"/>
      <c r="K428" s="28"/>
      <c r="L428" s="28"/>
      <c r="M428" s="28"/>
      <c r="N428" s="29"/>
      <c r="O428" s="29"/>
      <c r="P428" s="29"/>
    </row>
    <row r="429" spans="1:16" ht="11.25" customHeight="1" hidden="1">
      <c r="A429" s="23"/>
      <c r="B429" s="15">
        <v>7</v>
      </c>
      <c r="C429" s="23">
        <f t="shared" si="147"/>
        <v>2707</v>
      </c>
      <c r="D429" s="24"/>
      <c r="E429" s="25"/>
      <c r="F429" s="26"/>
      <c r="G429" s="27"/>
      <c r="H429" s="25"/>
      <c r="I429" s="27"/>
      <c r="J429" s="27"/>
      <c r="K429" s="28"/>
      <c r="L429" s="28"/>
      <c r="M429" s="28"/>
      <c r="N429" s="29"/>
      <c r="O429" s="29"/>
      <c r="P429" s="29"/>
    </row>
    <row r="430" spans="1:16" ht="11.25" customHeight="1" hidden="1">
      <c r="A430" s="23"/>
      <c r="B430" s="15">
        <v>8</v>
      </c>
      <c r="C430" s="23">
        <f t="shared" si="147"/>
        <v>2708</v>
      </c>
      <c r="D430" s="24"/>
      <c r="E430" s="25"/>
      <c r="F430" s="26"/>
      <c r="G430" s="27"/>
      <c r="H430" s="25"/>
      <c r="I430" s="27"/>
      <c r="J430" s="27"/>
      <c r="K430" s="28"/>
      <c r="L430" s="28"/>
      <c r="M430" s="28"/>
      <c r="N430" s="29"/>
      <c r="O430" s="29"/>
      <c r="P430" s="29"/>
    </row>
    <row r="431" spans="1:16" ht="11.25" customHeight="1" hidden="1">
      <c r="A431" s="23"/>
      <c r="B431" s="15">
        <v>9</v>
      </c>
      <c r="C431" s="23">
        <f t="shared" si="147"/>
        <v>2709</v>
      </c>
      <c r="D431" s="24"/>
      <c r="E431" s="25"/>
      <c r="F431" s="26"/>
      <c r="G431" s="27"/>
      <c r="H431" s="25"/>
      <c r="I431" s="27"/>
      <c r="J431" s="27"/>
      <c r="K431" s="28"/>
      <c r="L431" s="28"/>
      <c r="M431" s="28"/>
      <c r="N431" s="29"/>
      <c r="O431" s="29"/>
      <c r="P431" s="29"/>
    </row>
    <row r="432" spans="1:16" ht="11.25" customHeight="1" hidden="1">
      <c r="A432" s="23"/>
      <c r="B432" s="15">
        <v>10</v>
      </c>
      <c r="C432" s="23">
        <f t="shared" si="147"/>
        <v>2710</v>
      </c>
      <c r="D432" s="24"/>
      <c r="E432" s="25"/>
      <c r="F432" s="26"/>
      <c r="G432" s="27"/>
      <c r="H432" s="25"/>
      <c r="I432" s="27"/>
      <c r="J432" s="27"/>
      <c r="K432" s="28"/>
      <c r="L432" s="28"/>
      <c r="M432" s="28"/>
      <c r="N432" s="29"/>
      <c r="O432" s="29"/>
      <c r="P432" s="29"/>
    </row>
    <row r="433" spans="1:16" ht="11.25" customHeight="1" hidden="1">
      <c r="A433" s="23"/>
      <c r="B433" s="15">
        <v>11</v>
      </c>
      <c r="C433" s="23">
        <f t="shared" si="147"/>
        <v>2711</v>
      </c>
      <c r="D433" s="24"/>
      <c r="E433" s="25"/>
      <c r="F433" s="26"/>
      <c r="G433" s="27"/>
      <c r="H433" s="25"/>
      <c r="I433" s="27"/>
      <c r="J433" s="27"/>
      <c r="K433" s="28"/>
      <c r="L433" s="28"/>
      <c r="M433" s="28"/>
      <c r="N433" s="29"/>
      <c r="O433" s="29"/>
      <c r="P433" s="29"/>
    </row>
    <row r="434" spans="1:16" ht="11.25" customHeight="1" hidden="1">
      <c r="A434" s="23"/>
      <c r="B434" s="15">
        <v>12</v>
      </c>
      <c r="C434" s="23">
        <f t="shared" si="147"/>
        <v>2712</v>
      </c>
      <c r="D434" s="24"/>
      <c r="E434" s="25"/>
      <c r="F434" s="26"/>
      <c r="G434" s="27"/>
      <c r="H434" s="25"/>
      <c r="I434" s="27"/>
      <c r="J434" s="27"/>
      <c r="K434" s="28"/>
      <c r="L434" s="28"/>
      <c r="M434" s="28"/>
      <c r="N434" s="29"/>
      <c r="O434" s="29"/>
      <c r="P434" s="29"/>
    </row>
    <row r="435" spans="1:16" ht="11.25" customHeight="1" hidden="1">
      <c r="A435" s="23"/>
      <c r="B435" s="15">
        <v>13</v>
      </c>
      <c r="C435" s="23">
        <f t="shared" si="147"/>
        <v>2713</v>
      </c>
      <c r="D435" s="24"/>
      <c r="E435" s="25"/>
      <c r="F435" s="26"/>
      <c r="G435" s="27"/>
      <c r="H435" s="25"/>
      <c r="I435" s="27"/>
      <c r="J435" s="27"/>
      <c r="K435" s="28"/>
      <c r="L435" s="28"/>
      <c r="M435" s="28"/>
      <c r="N435" s="29"/>
      <c r="O435" s="29"/>
      <c r="P435" s="29"/>
    </row>
    <row r="436" spans="1:16" ht="11.25" customHeight="1" hidden="1">
      <c r="A436" s="23"/>
      <c r="B436" s="15">
        <v>14</v>
      </c>
      <c r="C436" s="23">
        <f t="shared" si="147"/>
        <v>2714</v>
      </c>
      <c r="D436" s="24"/>
      <c r="E436" s="25"/>
      <c r="F436" s="26"/>
      <c r="G436" s="27"/>
      <c r="H436" s="25"/>
      <c r="I436" s="27"/>
      <c r="J436" s="27"/>
      <c r="K436" s="28"/>
      <c r="L436" s="28"/>
      <c r="M436" s="28"/>
      <c r="N436" s="29"/>
      <c r="O436" s="29"/>
      <c r="P436" s="29"/>
    </row>
    <row r="437" spans="1:16" ht="11.25" customHeight="1" hidden="1">
      <c r="A437" s="23"/>
      <c r="B437" s="15">
        <v>15</v>
      </c>
      <c r="C437" s="23">
        <f t="shared" si="147"/>
        <v>2715</v>
      </c>
      <c r="D437" s="24"/>
      <c r="E437" s="25"/>
      <c r="F437" s="26"/>
      <c r="G437" s="27"/>
      <c r="H437" s="25"/>
      <c r="I437" s="27"/>
      <c r="J437" s="27"/>
      <c r="K437" s="28"/>
      <c r="L437" s="28"/>
      <c r="M437" s="28"/>
      <c r="N437" s="29"/>
      <c r="O437" s="29"/>
      <c r="P437" s="29"/>
    </row>
    <row r="438" spans="1:16" ht="11.25" customHeight="1" hidden="1">
      <c r="A438" s="23"/>
      <c r="B438" s="15">
        <v>16</v>
      </c>
      <c r="C438" s="23">
        <f t="shared" si="147"/>
        <v>2716</v>
      </c>
      <c r="D438" s="24"/>
      <c r="E438" s="25"/>
      <c r="F438" s="26"/>
      <c r="G438" s="27"/>
      <c r="H438" s="25"/>
      <c r="I438" s="27"/>
      <c r="J438" s="27"/>
      <c r="K438" s="28"/>
      <c r="L438" s="28"/>
      <c r="M438" s="28"/>
      <c r="N438" s="29"/>
      <c r="O438" s="29"/>
      <c r="P438" s="29"/>
    </row>
    <row r="439" spans="1:16" ht="11.25">
      <c r="A439" s="23">
        <v>28</v>
      </c>
      <c r="B439" s="15">
        <v>1</v>
      </c>
      <c r="C439" s="23">
        <f>$A$439*100+B439</f>
        <v>2801</v>
      </c>
      <c r="D439" s="24">
        <f>pol!D439</f>
        <v>34</v>
      </c>
      <c r="E439" s="25" t="str">
        <f>pol!E439</f>
        <v>STD</v>
      </c>
      <c r="F439" s="26">
        <f>pol!F439*25.4</f>
        <v>863.5999999999999</v>
      </c>
      <c r="G439" s="27">
        <f>pol!G439*25.4</f>
        <v>9.524999999999999</v>
      </c>
      <c r="H439" s="25">
        <f>F439-2*G439</f>
        <v>844.55</v>
      </c>
      <c r="I439" s="27">
        <f>PI()*(F439^2-H439^2)/400</f>
        <v>255.5705847698</v>
      </c>
      <c r="J439" s="27">
        <f>PI()*H439^2/400</f>
        <v>5601.967873597273</v>
      </c>
      <c r="K439" s="28">
        <f>0.785*I439</f>
        <v>200.622909044293</v>
      </c>
      <c r="L439" s="28">
        <f>J439*0.1</f>
        <v>560.1967873597273</v>
      </c>
      <c r="M439" s="28">
        <f>L439+K439</f>
        <v>760.8196964040203</v>
      </c>
      <c r="N439" s="29">
        <f>PI()*(($F439/10)^4-($H439/10)^4)/64</f>
        <v>233059.55429062367</v>
      </c>
      <c r="O439" s="29">
        <f>PI()*(($F439/10)^4-($H439/10)^4)/(32*($F439/10))</f>
        <v>5397.395884451684</v>
      </c>
      <c r="P439" s="29">
        <f>SQRT(N439/I439)</f>
        <v>30.197988990369794</v>
      </c>
    </row>
    <row r="440" spans="1:16" ht="11.25">
      <c r="A440" s="23"/>
      <c r="B440" s="15">
        <v>2</v>
      </c>
      <c r="C440" s="23">
        <f aca="true" t="shared" si="148" ref="C440:C454">$A$439*100+B440</f>
        <v>2802</v>
      </c>
      <c r="D440" s="24">
        <f>pol!D440</f>
        <v>34</v>
      </c>
      <c r="E440" s="25" t="str">
        <f>pol!E440</f>
        <v>XS</v>
      </c>
      <c r="F440" s="26">
        <f>pol!F440*25.4</f>
        <v>863.5999999999999</v>
      </c>
      <c r="G440" s="27">
        <f>pol!G440*25.4</f>
        <v>12.7</v>
      </c>
      <c r="H440" s="25">
        <f>F440-2*G440</f>
        <v>838.1999999999999</v>
      </c>
      <c r="I440" s="27">
        <f>PI()*(F440^2-H440^2)/400</f>
        <v>339.49401099532326</v>
      </c>
      <c r="J440" s="27">
        <f>PI()*H440^2/400</f>
        <v>5518.044447371749</v>
      </c>
      <c r="K440" s="28">
        <f>0.785*I440</f>
        <v>266.5027986313288</v>
      </c>
      <c r="L440" s="28">
        <f>J440*0.1</f>
        <v>551.8044447371749</v>
      </c>
      <c r="M440" s="28">
        <f>L440+K440</f>
        <v>818.3072433685037</v>
      </c>
      <c r="N440" s="29">
        <f>PI()*(($F440/10)^4-($H440/10)^4)/64</f>
        <v>307323.6009501572</v>
      </c>
      <c r="O440" s="29">
        <f>PI()*(($F440/10)^4-($H440/10)^4)/(32*($F440/10))</f>
        <v>7117.267275362605</v>
      </c>
      <c r="P440" s="29">
        <f>SQRT(N440/I440)</f>
        <v>30.08720866082459</v>
      </c>
    </row>
    <row r="441" spans="1:16" ht="11.25" customHeight="1" hidden="1">
      <c r="A441" s="23"/>
      <c r="B441" s="15">
        <v>3</v>
      </c>
      <c r="C441" s="23">
        <f t="shared" si="148"/>
        <v>2803</v>
      </c>
      <c r="D441" s="24"/>
      <c r="E441" s="25"/>
      <c r="F441" s="26"/>
      <c r="G441" s="27"/>
      <c r="H441" s="25"/>
      <c r="I441" s="27"/>
      <c r="J441" s="27"/>
      <c r="K441" s="28"/>
      <c r="L441" s="28"/>
      <c r="M441" s="28"/>
      <c r="N441" s="29"/>
      <c r="O441" s="29"/>
      <c r="P441" s="29"/>
    </row>
    <row r="442" spans="1:16" ht="11.25" customHeight="1" hidden="1">
      <c r="A442" s="23"/>
      <c r="B442" s="15">
        <v>4</v>
      </c>
      <c r="C442" s="23">
        <f t="shared" si="148"/>
        <v>2804</v>
      </c>
      <c r="D442" s="24"/>
      <c r="E442" s="25"/>
      <c r="F442" s="26"/>
      <c r="G442" s="27"/>
      <c r="H442" s="25"/>
      <c r="I442" s="27"/>
      <c r="J442" s="27"/>
      <c r="K442" s="28"/>
      <c r="L442" s="28"/>
      <c r="M442" s="28"/>
      <c r="N442" s="29"/>
      <c r="O442" s="29"/>
      <c r="P442" s="29"/>
    </row>
    <row r="443" spans="1:16" ht="11.25" customHeight="1" hidden="1">
      <c r="A443" s="23"/>
      <c r="B443" s="15">
        <v>5</v>
      </c>
      <c r="C443" s="23">
        <f t="shared" si="148"/>
        <v>2805</v>
      </c>
      <c r="D443" s="24"/>
      <c r="E443" s="25"/>
      <c r="F443" s="26"/>
      <c r="G443" s="27"/>
      <c r="H443" s="25"/>
      <c r="I443" s="27"/>
      <c r="J443" s="27"/>
      <c r="K443" s="28"/>
      <c r="L443" s="28"/>
      <c r="M443" s="28"/>
      <c r="N443" s="29"/>
      <c r="O443" s="29"/>
      <c r="P443" s="29"/>
    </row>
    <row r="444" spans="1:16" ht="11.25" customHeight="1" hidden="1">
      <c r="A444" s="23"/>
      <c r="B444" s="15">
        <v>6</v>
      </c>
      <c r="C444" s="23">
        <f t="shared" si="148"/>
        <v>2806</v>
      </c>
      <c r="D444" s="24"/>
      <c r="E444" s="25"/>
      <c r="F444" s="26"/>
      <c r="G444" s="27"/>
      <c r="H444" s="25"/>
      <c r="I444" s="27"/>
      <c r="J444" s="27"/>
      <c r="K444" s="28"/>
      <c r="L444" s="28"/>
      <c r="M444" s="28"/>
      <c r="N444" s="29"/>
      <c r="O444" s="29"/>
      <c r="P444" s="29"/>
    </row>
    <row r="445" spans="1:16" ht="11.25" customHeight="1" hidden="1">
      <c r="A445" s="23"/>
      <c r="B445" s="15">
        <v>7</v>
      </c>
      <c r="C445" s="23">
        <f t="shared" si="148"/>
        <v>2807</v>
      </c>
      <c r="D445" s="24"/>
      <c r="E445" s="25"/>
      <c r="F445" s="26"/>
      <c r="G445" s="27"/>
      <c r="H445" s="25"/>
      <c r="I445" s="27"/>
      <c r="J445" s="27"/>
      <c r="K445" s="28"/>
      <c r="L445" s="28"/>
      <c r="M445" s="28"/>
      <c r="N445" s="29"/>
      <c r="O445" s="29"/>
      <c r="P445" s="29"/>
    </row>
    <row r="446" spans="1:16" ht="11.25" customHeight="1" hidden="1">
      <c r="A446" s="23"/>
      <c r="B446" s="15">
        <v>8</v>
      </c>
      <c r="C446" s="23">
        <f t="shared" si="148"/>
        <v>2808</v>
      </c>
      <c r="D446" s="24"/>
      <c r="E446" s="25"/>
      <c r="F446" s="26"/>
      <c r="G446" s="27"/>
      <c r="H446" s="25"/>
      <c r="I446" s="27"/>
      <c r="J446" s="27"/>
      <c r="K446" s="28"/>
      <c r="L446" s="28"/>
      <c r="M446" s="28"/>
      <c r="N446" s="29"/>
      <c r="O446" s="29"/>
      <c r="P446" s="29"/>
    </row>
    <row r="447" spans="1:16" ht="11.25" customHeight="1" hidden="1">
      <c r="A447" s="23"/>
      <c r="B447" s="15">
        <v>9</v>
      </c>
      <c r="C447" s="23">
        <f t="shared" si="148"/>
        <v>2809</v>
      </c>
      <c r="D447" s="24"/>
      <c r="E447" s="25"/>
      <c r="F447" s="26"/>
      <c r="G447" s="27"/>
      <c r="H447" s="25"/>
      <c r="I447" s="27"/>
      <c r="J447" s="27"/>
      <c r="K447" s="28"/>
      <c r="L447" s="28"/>
      <c r="M447" s="28"/>
      <c r="N447" s="29"/>
      <c r="O447" s="29"/>
      <c r="P447" s="29"/>
    </row>
    <row r="448" spans="1:16" ht="11.25" customHeight="1" hidden="1">
      <c r="A448" s="23"/>
      <c r="B448" s="15">
        <v>10</v>
      </c>
      <c r="C448" s="23">
        <f t="shared" si="148"/>
        <v>2810</v>
      </c>
      <c r="D448" s="24"/>
      <c r="E448" s="25"/>
      <c r="F448" s="26"/>
      <c r="G448" s="27"/>
      <c r="H448" s="25"/>
      <c r="I448" s="27"/>
      <c r="J448" s="27"/>
      <c r="K448" s="28"/>
      <c r="L448" s="28"/>
      <c r="M448" s="28"/>
      <c r="N448" s="29"/>
      <c r="O448" s="29"/>
      <c r="P448" s="29"/>
    </row>
    <row r="449" spans="1:16" ht="11.25" customHeight="1" hidden="1">
      <c r="A449" s="23"/>
      <c r="B449" s="15">
        <v>11</v>
      </c>
      <c r="C449" s="23">
        <f t="shared" si="148"/>
        <v>2811</v>
      </c>
      <c r="D449" s="24"/>
      <c r="E449" s="25"/>
      <c r="F449" s="26"/>
      <c r="G449" s="27"/>
      <c r="H449" s="25"/>
      <c r="I449" s="27"/>
      <c r="J449" s="27"/>
      <c r="K449" s="28"/>
      <c r="L449" s="28"/>
      <c r="M449" s="28"/>
      <c r="N449" s="29"/>
      <c r="O449" s="29"/>
      <c r="P449" s="29"/>
    </row>
    <row r="450" spans="1:16" ht="11.25" customHeight="1" hidden="1">
      <c r="A450" s="23"/>
      <c r="B450" s="15">
        <v>12</v>
      </c>
      <c r="C450" s="23">
        <f t="shared" si="148"/>
        <v>2812</v>
      </c>
      <c r="D450" s="24"/>
      <c r="E450" s="25"/>
      <c r="F450" s="26"/>
      <c r="G450" s="27"/>
      <c r="H450" s="25"/>
      <c r="I450" s="27"/>
      <c r="J450" s="27"/>
      <c r="K450" s="28"/>
      <c r="L450" s="28"/>
      <c r="M450" s="28"/>
      <c r="N450" s="29"/>
      <c r="O450" s="29"/>
      <c r="P450" s="29"/>
    </row>
    <row r="451" spans="1:16" ht="11.25" customHeight="1" hidden="1">
      <c r="A451" s="23"/>
      <c r="B451" s="15">
        <v>13</v>
      </c>
      <c r="C451" s="23">
        <f t="shared" si="148"/>
        <v>2813</v>
      </c>
      <c r="D451" s="24"/>
      <c r="E451" s="25"/>
      <c r="F451" s="26"/>
      <c r="G451" s="27"/>
      <c r="H451" s="25"/>
      <c r="I451" s="27"/>
      <c r="J451" s="27"/>
      <c r="K451" s="28"/>
      <c r="L451" s="28"/>
      <c r="M451" s="28"/>
      <c r="N451" s="29"/>
      <c r="O451" s="29"/>
      <c r="P451" s="29"/>
    </row>
    <row r="452" spans="1:16" ht="11.25" customHeight="1" hidden="1">
      <c r="A452" s="23"/>
      <c r="B452" s="15">
        <v>14</v>
      </c>
      <c r="C452" s="23">
        <f t="shared" si="148"/>
        <v>2814</v>
      </c>
      <c r="D452" s="24"/>
      <c r="E452" s="25"/>
      <c r="F452" s="26"/>
      <c r="G452" s="27"/>
      <c r="H452" s="25"/>
      <c r="I452" s="27"/>
      <c r="J452" s="27"/>
      <c r="K452" s="28"/>
      <c r="L452" s="28"/>
      <c r="M452" s="28"/>
      <c r="N452" s="29"/>
      <c r="O452" s="29"/>
      <c r="P452" s="29"/>
    </row>
    <row r="453" spans="1:16" ht="11.25" customHeight="1" hidden="1">
      <c r="A453" s="23"/>
      <c r="B453" s="15">
        <v>15</v>
      </c>
      <c r="C453" s="23">
        <f t="shared" si="148"/>
        <v>2815</v>
      </c>
      <c r="D453" s="24"/>
      <c r="E453" s="25"/>
      <c r="F453" s="26"/>
      <c r="G453" s="27"/>
      <c r="H453" s="25"/>
      <c r="I453" s="27"/>
      <c r="J453" s="27"/>
      <c r="K453" s="28"/>
      <c r="L453" s="28"/>
      <c r="M453" s="28"/>
      <c r="N453" s="29"/>
      <c r="O453" s="29"/>
      <c r="P453" s="29"/>
    </row>
    <row r="454" spans="1:16" ht="11.25" customHeight="1" hidden="1">
      <c r="A454" s="23"/>
      <c r="B454" s="15">
        <v>16</v>
      </c>
      <c r="C454" s="23">
        <f t="shared" si="148"/>
        <v>2816</v>
      </c>
      <c r="D454" s="24"/>
      <c r="E454" s="25"/>
      <c r="F454" s="26"/>
      <c r="G454" s="27"/>
      <c r="H454" s="25"/>
      <c r="I454" s="27"/>
      <c r="J454" s="27"/>
      <c r="K454" s="28"/>
      <c r="L454" s="28"/>
      <c r="M454" s="28"/>
      <c r="N454" s="29"/>
      <c r="O454" s="29"/>
      <c r="P454" s="29"/>
    </row>
    <row r="455" spans="1:16" ht="11.25">
      <c r="A455" s="23">
        <v>29</v>
      </c>
      <c r="B455" s="15">
        <v>1</v>
      </c>
      <c r="C455" s="23">
        <f>$A$455*100+B455</f>
        <v>2901</v>
      </c>
      <c r="D455" s="24">
        <f>pol!D455</f>
        <v>36</v>
      </c>
      <c r="E455" s="25" t="str">
        <f>pol!E455</f>
        <v>STD</v>
      </c>
      <c r="F455" s="26">
        <f>pol!F455*25.4</f>
        <v>914.4</v>
      </c>
      <c r="G455" s="27">
        <f>pol!G455*25.4</f>
        <v>9.524999999999999</v>
      </c>
      <c r="H455" s="25">
        <f>F455-2*G455</f>
        <v>895.35</v>
      </c>
      <c r="I455" s="27">
        <f>PI()*(F455^2-H455^2)/400</f>
        <v>270.7718091427248</v>
      </c>
      <c r="J455" s="27">
        <f>PI()*H455^2/400</f>
        <v>6296.157119960845</v>
      </c>
      <c r="K455" s="28">
        <f>0.785*I455</f>
        <v>212.55587017703897</v>
      </c>
      <c r="L455" s="28">
        <f>J455*0.1</f>
        <v>629.6157119960845</v>
      </c>
      <c r="M455" s="28">
        <f>L455+K455</f>
        <v>842.1715821731235</v>
      </c>
      <c r="N455" s="29">
        <f>PI()*(($F455/10)^4-($H455/10)^4)/64</f>
        <v>277165.23629216163</v>
      </c>
      <c r="O455" s="29">
        <f>PI()*(($F455/10)^4-($H455/10)^4)/(32*($F455/10))</f>
        <v>6062.231764920421</v>
      </c>
      <c r="P455" s="29">
        <f>SQRT(N455/I455)</f>
        <v>31.993934801185457</v>
      </c>
    </row>
    <row r="456" spans="1:16" ht="11.25">
      <c r="A456" s="23"/>
      <c r="B456" s="15">
        <v>2</v>
      </c>
      <c r="C456" s="23">
        <f aca="true" t="shared" si="149" ref="C456:C470">$A$455*100+B456</f>
        <v>2902</v>
      </c>
      <c r="D456" s="24">
        <f>pol!D456</f>
        <v>36</v>
      </c>
      <c r="E456" s="25" t="str">
        <f>pol!E456</f>
        <v>XS</v>
      </c>
      <c r="F456" s="26">
        <f>pol!F456*25.4</f>
        <v>914.4</v>
      </c>
      <c r="G456" s="27">
        <f>pol!G456*25.4</f>
        <v>12.7</v>
      </c>
      <c r="H456" s="25">
        <f>F456-2*G456</f>
        <v>889</v>
      </c>
      <c r="I456" s="27">
        <f>PI()*(F456^2-H456^2)/400</f>
        <v>359.76231015922326</v>
      </c>
      <c r="J456" s="27">
        <f>PI()*H456^2/400</f>
        <v>6207.166618944347</v>
      </c>
      <c r="K456" s="28">
        <f>0.785*I456</f>
        <v>282.41341347499025</v>
      </c>
      <c r="L456" s="28">
        <f>J456*0.1</f>
        <v>620.7166618944348</v>
      </c>
      <c r="M456" s="28">
        <f>L456+K456</f>
        <v>903.130075369425</v>
      </c>
      <c r="N456" s="29">
        <f>PI()*(($F456/10)^4-($H456/10)^4)/64</f>
        <v>365709.26209267485</v>
      </c>
      <c r="O456" s="29">
        <f>PI()*(($F456/10)^4-($H456/10)^4)/(32*($F456/10))</f>
        <v>7998.890246996388</v>
      </c>
      <c r="P456" s="29">
        <f>SQRT(N456/I456)</f>
        <v>31.8830711350083</v>
      </c>
    </row>
    <row r="457" spans="1:16" ht="11.25" customHeight="1" hidden="1">
      <c r="A457" s="23"/>
      <c r="B457" s="15">
        <v>3</v>
      </c>
      <c r="C457" s="23">
        <f t="shared" si="149"/>
        <v>2903</v>
      </c>
      <c r="D457" s="24"/>
      <c r="E457" s="25"/>
      <c r="F457" s="26"/>
      <c r="G457" s="27"/>
      <c r="H457" s="25"/>
      <c r="I457" s="27"/>
      <c r="J457" s="27"/>
      <c r="K457" s="28"/>
      <c r="L457" s="28"/>
      <c r="M457" s="28"/>
      <c r="N457" s="29"/>
      <c r="O457" s="29"/>
      <c r="P457" s="29"/>
    </row>
    <row r="458" spans="1:16" ht="11.25" customHeight="1" hidden="1">
      <c r="A458" s="23"/>
      <c r="B458" s="15">
        <v>4</v>
      </c>
      <c r="C458" s="23">
        <f t="shared" si="149"/>
        <v>2904</v>
      </c>
      <c r="D458" s="24"/>
      <c r="E458" s="25"/>
      <c r="F458" s="26"/>
      <c r="G458" s="27"/>
      <c r="H458" s="25"/>
      <c r="I458" s="27"/>
      <c r="J458" s="27"/>
      <c r="K458" s="28"/>
      <c r="L458" s="28"/>
      <c r="M458" s="28"/>
      <c r="N458" s="29"/>
      <c r="O458" s="29"/>
      <c r="P458" s="29"/>
    </row>
    <row r="459" spans="1:16" ht="11.25" customHeight="1" hidden="1">
      <c r="A459" s="23"/>
      <c r="B459" s="15">
        <v>5</v>
      </c>
      <c r="C459" s="23">
        <f t="shared" si="149"/>
        <v>2905</v>
      </c>
      <c r="D459" s="24"/>
      <c r="E459" s="25"/>
      <c r="F459" s="26"/>
      <c r="G459" s="27"/>
      <c r="H459" s="25"/>
      <c r="I459" s="27"/>
      <c r="J459" s="27"/>
      <c r="K459" s="28"/>
      <c r="L459" s="28"/>
      <c r="M459" s="28"/>
      <c r="N459" s="29"/>
      <c r="O459" s="29"/>
      <c r="P459" s="29"/>
    </row>
    <row r="460" spans="1:16" ht="11.25" customHeight="1" hidden="1">
      <c r="A460" s="23"/>
      <c r="B460" s="15">
        <v>6</v>
      </c>
      <c r="C460" s="23">
        <f t="shared" si="149"/>
        <v>2906</v>
      </c>
      <c r="D460" s="24"/>
      <c r="E460" s="25"/>
      <c r="F460" s="26"/>
      <c r="G460" s="27"/>
      <c r="H460" s="25"/>
      <c r="I460" s="27"/>
      <c r="J460" s="27"/>
      <c r="K460" s="28"/>
      <c r="L460" s="28"/>
      <c r="M460" s="28"/>
      <c r="N460" s="29"/>
      <c r="O460" s="29"/>
      <c r="P460" s="29"/>
    </row>
    <row r="461" spans="1:16" ht="11.25" customHeight="1" hidden="1">
      <c r="A461" s="23"/>
      <c r="B461" s="15">
        <v>7</v>
      </c>
      <c r="C461" s="23">
        <f t="shared" si="149"/>
        <v>2907</v>
      </c>
      <c r="D461" s="24"/>
      <c r="E461" s="25"/>
      <c r="F461" s="26"/>
      <c r="G461" s="27"/>
      <c r="H461" s="25"/>
      <c r="I461" s="27"/>
      <c r="J461" s="27"/>
      <c r="K461" s="28"/>
      <c r="L461" s="28"/>
      <c r="M461" s="28"/>
      <c r="N461" s="29"/>
      <c r="O461" s="29"/>
      <c r="P461" s="29"/>
    </row>
    <row r="462" spans="1:16" ht="11.25" customHeight="1" hidden="1">
      <c r="A462" s="23"/>
      <c r="B462" s="15">
        <v>8</v>
      </c>
      <c r="C462" s="23">
        <f t="shared" si="149"/>
        <v>2908</v>
      </c>
      <c r="D462" s="24"/>
      <c r="E462" s="25"/>
      <c r="F462" s="26"/>
      <c r="G462" s="27"/>
      <c r="H462" s="25"/>
      <c r="I462" s="27"/>
      <c r="J462" s="27"/>
      <c r="K462" s="28"/>
      <c r="L462" s="28"/>
      <c r="M462" s="28"/>
      <c r="N462" s="29"/>
      <c r="O462" s="29"/>
      <c r="P462" s="29"/>
    </row>
    <row r="463" spans="1:16" ht="11.25" customHeight="1" hidden="1">
      <c r="A463" s="23"/>
      <c r="B463" s="15">
        <v>9</v>
      </c>
      <c r="C463" s="23">
        <f t="shared" si="149"/>
        <v>2909</v>
      </c>
      <c r="D463" s="24"/>
      <c r="E463" s="25"/>
      <c r="F463" s="26"/>
      <c r="G463" s="27"/>
      <c r="H463" s="25"/>
      <c r="I463" s="27"/>
      <c r="J463" s="27"/>
      <c r="K463" s="28"/>
      <c r="L463" s="28"/>
      <c r="M463" s="28"/>
      <c r="N463" s="29"/>
      <c r="O463" s="29"/>
      <c r="P463" s="29"/>
    </row>
    <row r="464" spans="1:16" ht="11.25" customHeight="1" hidden="1">
      <c r="A464" s="23"/>
      <c r="B464" s="15">
        <v>10</v>
      </c>
      <c r="C464" s="23">
        <f t="shared" si="149"/>
        <v>2910</v>
      </c>
      <c r="D464" s="24"/>
      <c r="E464" s="25"/>
      <c r="F464" s="26"/>
      <c r="G464" s="27"/>
      <c r="H464" s="25"/>
      <c r="I464" s="27"/>
      <c r="J464" s="27"/>
      <c r="K464" s="28"/>
      <c r="L464" s="28"/>
      <c r="M464" s="28"/>
      <c r="N464" s="29"/>
      <c r="O464" s="29"/>
      <c r="P464" s="29"/>
    </row>
    <row r="465" spans="1:16" ht="11.25" customHeight="1" hidden="1">
      <c r="A465" s="23"/>
      <c r="B465" s="15">
        <v>11</v>
      </c>
      <c r="C465" s="23">
        <f t="shared" si="149"/>
        <v>2911</v>
      </c>
      <c r="D465" s="24"/>
      <c r="E465" s="25"/>
      <c r="F465" s="26"/>
      <c r="G465" s="27"/>
      <c r="H465" s="25"/>
      <c r="I465" s="27"/>
      <c r="J465" s="27"/>
      <c r="K465" s="28"/>
      <c r="L465" s="28"/>
      <c r="M465" s="28"/>
      <c r="N465" s="29"/>
      <c r="O465" s="29"/>
      <c r="P465" s="29"/>
    </row>
    <row r="466" spans="1:16" ht="11.25" customHeight="1" hidden="1">
      <c r="A466" s="23"/>
      <c r="B466" s="15">
        <v>12</v>
      </c>
      <c r="C466" s="23">
        <f t="shared" si="149"/>
        <v>2912</v>
      </c>
      <c r="D466" s="24"/>
      <c r="E466" s="25"/>
      <c r="F466" s="26"/>
      <c r="G466" s="27"/>
      <c r="H466" s="25"/>
      <c r="I466" s="27"/>
      <c r="J466" s="27"/>
      <c r="K466" s="28"/>
      <c r="L466" s="28"/>
      <c r="M466" s="28"/>
      <c r="N466" s="29"/>
      <c r="O466" s="29"/>
      <c r="P466" s="29"/>
    </row>
    <row r="467" spans="1:16" ht="11.25" customHeight="1" hidden="1">
      <c r="A467" s="23"/>
      <c r="B467" s="15">
        <v>13</v>
      </c>
      <c r="C467" s="23">
        <f t="shared" si="149"/>
        <v>2913</v>
      </c>
      <c r="D467" s="24"/>
      <c r="E467" s="25"/>
      <c r="F467" s="26"/>
      <c r="G467" s="27"/>
      <c r="H467" s="25"/>
      <c r="I467" s="27"/>
      <c r="J467" s="27"/>
      <c r="K467" s="28"/>
      <c r="L467" s="28"/>
      <c r="M467" s="28"/>
      <c r="N467" s="29"/>
      <c r="O467" s="29"/>
      <c r="P467" s="29"/>
    </row>
    <row r="468" spans="1:16" ht="11.25" customHeight="1" hidden="1">
      <c r="A468" s="23"/>
      <c r="B468" s="15">
        <v>14</v>
      </c>
      <c r="C468" s="23">
        <f t="shared" si="149"/>
        <v>2914</v>
      </c>
      <c r="D468" s="24"/>
      <c r="E468" s="25"/>
      <c r="F468" s="26"/>
      <c r="G468" s="27"/>
      <c r="H468" s="25"/>
      <c r="I468" s="27"/>
      <c r="J468" s="27"/>
      <c r="K468" s="28"/>
      <c r="L468" s="28"/>
      <c r="M468" s="28"/>
      <c r="N468" s="29"/>
      <c r="O468" s="29"/>
      <c r="P468" s="29"/>
    </row>
    <row r="469" spans="1:16" ht="11.25" customHeight="1" hidden="1">
      <c r="A469" s="23"/>
      <c r="B469" s="15">
        <v>15</v>
      </c>
      <c r="C469" s="23">
        <f t="shared" si="149"/>
        <v>2915</v>
      </c>
      <c r="D469" s="24"/>
      <c r="E469" s="25"/>
      <c r="F469" s="26"/>
      <c r="G469" s="27"/>
      <c r="H469" s="25"/>
      <c r="I469" s="27"/>
      <c r="J469" s="27"/>
      <c r="K469" s="28"/>
      <c r="L469" s="28"/>
      <c r="M469" s="28"/>
      <c r="N469" s="29"/>
      <c r="O469" s="29"/>
      <c r="P469" s="29"/>
    </row>
    <row r="470" spans="1:16" ht="11.25" customHeight="1" hidden="1">
      <c r="A470" s="23"/>
      <c r="B470" s="15">
        <v>16</v>
      </c>
      <c r="C470" s="23">
        <f t="shared" si="149"/>
        <v>2916</v>
      </c>
      <c r="D470" s="24"/>
      <c r="E470" s="25"/>
      <c r="F470" s="26"/>
      <c r="G470" s="27"/>
      <c r="H470" s="25"/>
      <c r="I470" s="27"/>
      <c r="J470" s="27"/>
      <c r="K470" s="28"/>
      <c r="L470" s="28"/>
      <c r="M470" s="28"/>
      <c r="N470" s="29"/>
      <c r="O470" s="29"/>
      <c r="P470" s="29"/>
    </row>
    <row r="471" spans="1:16" ht="11.25">
      <c r="A471" s="23">
        <v>30</v>
      </c>
      <c r="B471" s="15">
        <v>1</v>
      </c>
      <c r="C471" s="23">
        <f>$A$471*100+B471</f>
        <v>3001</v>
      </c>
      <c r="D471" s="24">
        <f>pol!D471</f>
        <v>42</v>
      </c>
      <c r="E471" s="25" t="str">
        <f>pol!E471</f>
        <v>STD</v>
      </c>
      <c r="F471" s="26">
        <f>pol!F471*25.4</f>
        <v>1066.8</v>
      </c>
      <c r="G471" s="27">
        <f>pol!G471*25.4</f>
        <v>9.524999999999999</v>
      </c>
      <c r="H471" s="25">
        <f>F471-2*G471</f>
        <v>1047.75</v>
      </c>
      <c r="I471" s="27">
        <f>PI()*(F471^2-H471^2)/400</f>
        <v>316.37548226150005</v>
      </c>
      <c r="J471" s="27">
        <f>PI()*H471^2/400</f>
        <v>8621.94444901836</v>
      </c>
      <c r="K471" s="28">
        <f>0.785*I471</f>
        <v>248.35475357527756</v>
      </c>
      <c r="L471" s="28">
        <f>J471*0.1</f>
        <v>862.194444901836</v>
      </c>
      <c r="M471" s="28">
        <f>L471+K471</f>
        <v>1110.5491984771136</v>
      </c>
      <c r="N471" s="29">
        <f>PI()*(($F471/10)^4-($H471/10)^4)/64</f>
        <v>442103.55419630924</v>
      </c>
      <c r="O471" s="29">
        <f>PI()*(($F471/10)^4-($H471/10)^4)/(32*($F471/10))</f>
        <v>8288.405590481989</v>
      </c>
      <c r="P471" s="29">
        <f>SQRT(N471/I471)</f>
        <v>37.381833008327575</v>
      </c>
    </row>
    <row r="472" spans="1:16" ht="11.25">
      <c r="A472" s="23"/>
      <c r="B472" s="15">
        <v>2</v>
      </c>
      <c r="C472" s="23">
        <f aca="true" t="shared" si="150" ref="C472:C486">$A$471*100+B472</f>
        <v>3002</v>
      </c>
      <c r="D472" s="24">
        <f>pol!D472</f>
        <v>42</v>
      </c>
      <c r="E472" s="25" t="str">
        <f>pol!E472</f>
        <v>XS</v>
      </c>
      <c r="F472" s="26">
        <f>pol!F472*25.4</f>
        <v>1066.8</v>
      </c>
      <c r="G472" s="27">
        <f>pol!G472*25.4</f>
        <v>12.7</v>
      </c>
      <c r="H472" s="25">
        <f>F472-2*G472</f>
        <v>1041.3999999999999</v>
      </c>
      <c r="I472" s="27">
        <f>PI()*(F472^2-H472^2)/400</f>
        <v>420.5672076509252</v>
      </c>
      <c r="J472" s="27">
        <f>PI()*H472^2/400</f>
        <v>8517.752723628935</v>
      </c>
      <c r="K472" s="28">
        <f>0.785*I472</f>
        <v>330.1452580059763</v>
      </c>
      <c r="L472" s="28">
        <f>J472*0.1</f>
        <v>851.7752723628936</v>
      </c>
      <c r="M472" s="28">
        <f>L472+K472</f>
        <v>1181.92053036887</v>
      </c>
      <c r="N472" s="29">
        <f>PI()*(($F472/10)^4-($H472/10)^4)/64</f>
        <v>584214.166390876</v>
      </c>
      <c r="O472" s="29">
        <f>PI()*(($F472/10)^4-($H472/10)^4)/(32*($F472/10))</f>
        <v>10952.64653901155</v>
      </c>
      <c r="P472" s="29">
        <f>SQRT(N472/I472)</f>
        <v>37.27076770070609</v>
      </c>
    </row>
    <row r="473" spans="1:16" ht="11.25" customHeight="1" hidden="1">
      <c r="A473" s="23"/>
      <c r="B473" s="15">
        <v>3</v>
      </c>
      <c r="C473" s="23">
        <f t="shared" si="150"/>
        <v>3003</v>
      </c>
      <c r="D473" s="24"/>
      <c r="E473" s="25"/>
      <c r="F473" s="26"/>
      <c r="G473" s="27"/>
      <c r="H473" s="25"/>
      <c r="I473" s="27"/>
      <c r="J473" s="27"/>
      <c r="K473" s="28"/>
      <c r="L473" s="28"/>
      <c r="M473" s="28"/>
      <c r="N473" s="29"/>
      <c r="O473" s="29"/>
      <c r="P473" s="29"/>
    </row>
    <row r="474" spans="1:16" ht="11.25" customHeight="1" hidden="1">
      <c r="A474" s="23"/>
      <c r="B474" s="15">
        <v>4</v>
      </c>
      <c r="C474" s="23">
        <f t="shared" si="150"/>
        <v>3004</v>
      </c>
      <c r="D474" s="24"/>
      <c r="E474" s="25"/>
      <c r="F474" s="26"/>
      <c r="G474" s="27"/>
      <c r="H474" s="25"/>
      <c r="I474" s="27"/>
      <c r="J474" s="27"/>
      <c r="K474" s="28"/>
      <c r="L474" s="28"/>
      <c r="M474" s="28"/>
      <c r="N474" s="29"/>
      <c r="O474" s="29"/>
      <c r="P474" s="29"/>
    </row>
    <row r="475" spans="1:16" ht="11.25" customHeight="1" hidden="1">
      <c r="A475" s="23"/>
      <c r="B475" s="15">
        <v>5</v>
      </c>
      <c r="C475" s="23">
        <f t="shared" si="150"/>
        <v>3005</v>
      </c>
      <c r="D475" s="24"/>
      <c r="E475" s="25"/>
      <c r="F475" s="26"/>
      <c r="G475" s="27"/>
      <c r="H475" s="25"/>
      <c r="I475" s="27"/>
      <c r="J475" s="27"/>
      <c r="K475" s="28"/>
      <c r="L475" s="28"/>
      <c r="M475" s="28"/>
      <c r="N475" s="29"/>
      <c r="O475" s="29"/>
      <c r="P475" s="29"/>
    </row>
    <row r="476" spans="1:16" ht="11.25" customHeight="1" hidden="1">
      <c r="A476" s="23"/>
      <c r="B476" s="15">
        <v>6</v>
      </c>
      <c r="C476" s="23">
        <f t="shared" si="150"/>
        <v>3006</v>
      </c>
      <c r="D476" s="24"/>
      <c r="E476" s="25"/>
      <c r="F476" s="26"/>
      <c r="G476" s="27"/>
      <c r="H476" s="25"/>
      <c r="I476" s="27"/>
      <c r="J476" s="27"/>
      <c r="K476" s="28"/>
      <c r="L476" s="28"/>
      <c r="M476" s="28"/>
      <c r="N476" s="29"/>
      <c r="O476" s="29"/>
      <c r="P476" s="29"/>
    </row>
    <row r="477" spans="1:16" ht="11.25" customHeight="1" hidden="1">
      <c r="A477" s="23"/>
      <c r="B477" s="15">
        <v>7</v>
      </c>
      <c r="C477" s="23">
        <f t="shared" si="150"/>
        <v>3007</v>
      </c>
      <c r="D477" s="24"/>
      <c r="E477" s="25"/>
      <c r="F477" s="26"/>
      <c r="G477" s="27"/>
      <c r="H477" s="25"/>
      <c r="I477" s="27"/>
      <c r="J477" s="27"/>
      <c r="K477" s="28"/>
      <c r="L477" s="28"/>
      <c r="M477" s="28"/>
      <c r="N477" s="29"/>
      <c r="O477" s="29"/>
      <c r="P477" s="29"/>
    </row>
    <row r="478" spans="1:16" ht="11.25" customHeight="1" hidden="1">
      <c r="A478" s="23"/>
      <c r="B478" s="15">
        <v>8</v>
      </c>
      <c r="C478" s="23">
        <f t="shared" si="150"/>
        <v>3008</v>
      </c>
      <c r="D478" s="24"/>
      <c r="E478" s="25"/>
      <c r="F478" s="26"/>
      <c r="G478" s="27"/>
      <c r="H478" s="25"/>
      <c r="I478" s="27"/>
      <c r="J478" s="27"/>
      <c r="K478" s="28"/>
      <c r="L478" s="28"/>
      <c r="M478" s="28"/>
      <c r="N478" s="29"/>
      <c r="O478" s="29"/>
      <c r="P478" s="29"/>
    </row>
    <row r="479" spans="1:16" ht="11.25" customHeight="1" hidden="1">
      <c r="A479" s="23"/>
      <c r="B479" s="15">
        <v>9</v>
      </c>
      <c r="C479" s="23">
        <f t="shared" si="150"/>
        <v>3009</v>
      </c>
      <c r="D479" s="24"/>
      <c r="E479" s="25"/>
      <c r="F479" s="26"/>
      <c r="G479" s="27"/>
      <c r="H479" s="25"/>
      <c r="I479" s="27"/>
      <c r="J479" s="27"/>
      <c r="K479" s="28"/>
      <c r="L479" s="28"/>
      <c r="M479" s="28"/>
      <c r="N479" s="29"/>
      <c r="O479" s="29"/>
      <c r="P479" s="29"/>
    </row>
    <row r="480" spans="1:16" ht="11.25" customHeight="1" hidden="1">
      <c r="A480" s="23"/>
      <c r="B480" s="15">
        <v>10</v>
      </c>
      <c r="C480" s="23">
        <f t="shared" si="150"/>
        <v>3010</v>
      </c>
      <c r="D480" s="24"/>
      <c r="E480" s="25"/>
      <c r="F480" s="26"/>
      <c r="G480" s="27"/>
      <c r="H480" s="25"/>
      <c r="I480" s="27"/>
      <c r="J480" s="27"/>
      <c r="K480" s="28"/>
      <c r="L480" s="28"/>
      <c r="M480" s="28"/>
      <c r="N480" s="29"/>
      <c r="O480" s="29"/>
      <c r="P480" s="29"/>
    </row>
    <row r="481" spans="1:16" ht="11.25" customHeight="1" hidden="1">
      <c r="A481" s="23"/>
      <c r="B481" s="15">
        <v>11</v>
      </c>
      <c r="C481" s="23">
        <f t="shared" si="150"/>
        <v>3011</v>
      </c>
      <c r="D481" s="24"/>
      <c r="E481" s="25"/>
      <c r="F481" s="26"/>
      <c r="G481" s="27"/>
      <c r="H481" s="25"/>
      <c r="I481" s="27"/>
      <c r="J481" s="27"/>
      <c r="K481" s="28"/>
      <c r="L481" s="28"/>
      <c r="M481" s="28"/>
      <c r="N481" s="29"/>
      <c r="O481" s="29"/>
      <c r="P481" s="29"/>
    </row>
    <row r="482" spans="1:16" ht="11.25" customHeight="1" hidden="1">
      <c r="A482" s="23"/>
      <c r="B482" s="15">
        <v>12</v>
      </c>
      <c r="C482" s="23">
        <f t="shared" si="150"/>
        <v>3012</v>
      </c>
      <c r="D482" s="24"/>
      <c r="E482" s="25"/>
      <c r="F482" s="26"/>
      <c r="G482" s="27"/>
      <c r="H482" s="25"/>
      <c r="I482" s="27"/>
      <c r="J482" s="27"/>
      <c r="K482" s="28"/>
      <c r="L482" s="28"/>
      <c r="M482" s="28"/>
      <c r="N482" s="29"/>
      <c r="O482" s="29"/>
      <c r="P482" s="29"/>
    </row>
    <row r="483" spans="1:16" ht="11.25" customHeight="1" hidden="1">
      <c r="A483" s="23"/>
      <c r="B483" s="15">
        <v>13</v>
      </c>
      <c r="C483" s="23">
        <f t="shared" si="150"/>
        <v>3013</v>
      </c>
      <c r="D483" s="24"/>
      <c r="E483" s="25"/>
      <c r="F483" s="26"/>
      <c r="G483" s="27"/>
      <c r="H483" s="25"/>
      <c r="I483" s="27"/>
      <c r="J483" s="27"/>
      <c r="K483" s="28"/>
      <c r="L483" s="28"/>
      <c r="M483" s="28"/>
      <c r="N483" s="29"/>
      <c r="O483" s="29"/>
      <c r="P483" s="29"/>
    </row>
    <row r="484" spans="1:16" ht="11.25" customHeight="1" hidden="1">
      <c r="A484" s="23"/>
      <c r="B484" s="15">
        <v>14</v>
      </c>
      <c r="C484" s="23">
        <f t="shared" si="150"/>
        <v>3014</v>
      </c>
      <c r="D484" s="24"/>
      <c r="E484" s="25"/>
      <c r="F484" s="26"/>
      <c r="G484" s="27"/>
      <c r="H484" s="25"/>
      <c r="I484" s="27"/>
      <c r="J484" s="27"/>
      <c r="K484" s="28"/>
      <c r="L484" s="28"/>
      <c r="M484" s="28"/>
      <c r="N484" s="29"/>
      <c r="O484" s="29"/>
      <c r="P484" s="29"/>
    </row>
    <row r="485" spans="1:16" ht="11.25" customHeight="1" hidden="1">
      <c r="A485" s="23"/>
      <c r="B485" s="15">
        <v>15</v>
      </c>
      <c r="C485" s="23">
        <f t="shared" si="150"/>
        <v>3015</v>
      </c>
      <c r="D485" s="24"/>
      <c r="E485" s="25"/>
      <c r="F485" s="26"/>
      <c r="G485" s="27"/>
      <c r="H485" s="25"/>
      <c r="I485" s="27"/>
      <c r="J485" s="27"/>
      <c r="K485" s="28"/>
      <c r="L485" s="28"/>
      <c r="M485" s="28"/>
      <c r="N485" s="29"/>
      <c r="O485" s="29"/>
      <c r="P485" s="29"/>
    </row>
    <row r="486" spans="1:16" ht="11.25" customHeight="1" hidden="1">
      <c r="A486" s="23"/>
      <c r="B486" s="15">
        <v>16</v>
      </c>
      <c r="C486" s="23">
        <f t="shared" si="150"/>
        <v>3016</v>
      </c>
      <c r="D486" s="24"/>
      <c r="E486" s="25"/>
      <c r="F486" s="26"/>
      <c r="G486" s="27"/>
      <c r="H486" s="25"/>
      <c r="I486" s="27"/>
      <c r="J486" s="27"/>
      <c r="K486" s="28"/>
      <c r="L486" s="28"/>
      <c r="M486" s="28"/>
      <c r="N486" s="29"/>
      <c r="O486" s="29"/>
      <c r="P486" s="29"/>
    </row>
    <row r="487" spans="1:16" ht="11.25">
      <c r="A487" s="23">
        <v>31</v>
      </c>
      <c r="B487" s="15">
        <v>1</v>
      </c>
      <c r="C487" s="23">
        <f>$A$487*100+B487</f>
        <v>3101</v>
      </c>
      <c r="D487" s="24">
        <f>pol!D487</f>
        <v>48</v>
      </c>
      <c r="E487" s="25" t="str">
        <f>pol!E487</f>
        <v>STD</v>
      </c>
      <c r="F487" s="26">
        <f>pol!F487*25.4</f>
        <v>1219.1999999999998</v>
      </c>
      <c r="G487" s="27">
        <f>pol!G487*25.4</f>
        <v>9.524999999999999</v>
      </c>
      <c r="H487" s="25">
        <f>F487-2*G487</f>
        <v>1200.1499999999999</v>
      </c>
      <c r="I487" s="27">
        <f>PI()*(F487^2-H487^2)/400</f>
        <v>361.97915538027445</v>
      </c>
      <c r="J487" s="27">
        <f>PI()*H487^2/400</f>
        <v>11312.561163026072</v>
      </c>
      <c r="K487" s="28">
        <f>0.785*I487</f>
        <v>284.15363697351546</v>
      </c>
      <c r="L487" s="28">
        <f>J487*0.1</f>
        <v>1131.2561163026073</v>
      </c>
      <c r="M487" s="28">
        <f>L487+K487</f>
        <v>1415.4097532761227</v>
      </c>
      <c r="N487" s="29">
        <f>PI()*(($F487/10)^4-($H487/10)^4)/64</f>
        <v>662152.3297571376</v>
      </c>
      <c r="O487" s="29">
        <f>PI()*(($F487/10)^4-($H487/10)^4)/(32*($F487/10))</f>
        <v>10862.078900215512</v>
      </c>
      <c r="P487" s="29">
        <f>SQRT(N487/I487)</f>
        <v>42.76979558125686</v>
      </c>
    </row>
    <row r="488" spans="1:16" ht="11.25">
      <c r="A488" s="23"/>
      <c r="B488" s="15">
        <v>2</v>
      </c>
      <c r="C488" s="23">
        <f aca="true" t="shared" si="151" ref="C488:C502">$A$487*100+B488</f>
        <v>3102</v>
      </c>
      <c r="D488" s="24">
        <f>pol!D488</f>
        <v>48</v>
      </c>
      <c r="E488" s="25" t="str">
        <f>pol!E488</f>
        <v>XS</v>
      </c>
      <c r="F488" s="26">
        <f>pol!F488*25.4</f>
        <v>1219.1999999999998</v>
      </c>
      <c r="G488" s="27">
        <f>pol!G488*25.4</f>
        <v>12.7</v>
      </c>
      <c r="H488" s="25">
        <f>F488-2*G488</f>
        <v>1193.7999999999997</v>
      </c>
      <c r="I488" s="27">
        <f>PI()*(F488^2-H488^2)/400</f>
        <v>481.3721051426262</v>
      </c>
      <c r="J488" s="27">
        <f>PI()*H488^2/400</f>
        <v>11193.16821326372</v>
      </c>
      <c r="K488" s="28">
        <f>0.785*I488</f>
        <v>377.87710253696156</v>
      </c>
      <c r="L488" s="28">
        <f>J488*0.1</f>
        <v>1119.316821326372</v>
      </c>
      <c r="M488" s="28">
        <f>L488+K488</f>
        <v>1497.1939238633336</v>
      </c>
      <c r="N488" s="29">
        <f>PI()*(($F488/10)^4-($H488/10)^4)/64</f>
        <v>875979.0184048583</v>
      </c>
      <c r="O488" s="29">
        <f>PI()*(($F488/10)^4-($H488/10)^4)/(32*($F488/10))</f>
        <v>14369.734553885472</v>
      </c>
      <c r="P488" s="29">
        <f>SQRT(N488/I488)</f>
        <v>42.65857973491379</v>
      </c>
    </row>
    <row r="489" spans="1:14" ht="11.25" hidden="1">
      <c r="A489" s="23"/>
      <c r="B489" s="15">
        <v>3</v>
      </c>
      <c r="C489" s="23">
        <f t="shared" si="151"/>
        <v>3103</v>
      </c>
      <c r="D489" s="83">
        <f>pol!D489</f>
        <v>0</v>
      </c>
      <c r="E489" s="15">
        <f>pol!E489</f>
        <v>0</v>
      </c>
      <c r="F489" s="86">
        <f>pol!F489*25.4</f>
        <v>0</v>
      </c>
      <c r="G489" s="85">
        <f>pol!G489*25.4</f>
        <v>0</v>
      </c>
      <c r="H489" s="15">
        <f>F489-2*G489</f>
        <v>0</v>
      </c>
      <c r="I489" s="85">
        <f>PI()*(F489^2-H489^2)/400</f>
        <v>0</v>
      </c>
      <c r="J489" s="85">
        <f>PI()*H489^2/400</f>
        <v>0</v>
      </c>
      <c r="K489" s="102">
        <f>0.785*I489</f>
        <v>0</v>
      </c>
      <c r="L489" s="102"/>
      <c r="M489" s="102">
        <f>I489*0.1+K489</f>
        <v>0</v>
      </c>
      <c r="N489" s="84">
        <f>PI()*(($F489/10)^4-($H489/10)^4)/64</f>
        <v>0</v>
      </c>
    </row>
    <row r="490" spans="1:14" ht="11.25" hidden="1">
      <c r="A490" s="23"/>
      <c r="B490" s="15">
        <v>4</v>
      </c>
      <c r="C490" s="23">
        <f t="shared" si="151"/>
        <v>3104</v>
      </c>
      <c r="D490" s="83">
        <f>pol!D490</f>
        <v>0</v>
      </c>
      <c r="E490" s="15">
        <f>pol!E490</f>
        <v>0</v>
      </c>
      <c r="F490" s="86">
        <f>pol!F490*25.4</f>
        <v>0</v>
      </c>
      <c r="G490" s="85">
        <f>pol!G490*25.4</f>
        <v>0</v>
      </c>
      <c r="H490" s="15">
        <f>F490-2*G490</f>
        <v>0</v>
      </c>
      <c r="I490" s="85">
        <f>PI()*(F490^2-H490^2)/400</f>
        <v>0</v>
      </c>
      <c r="J490" s="85">
        <f>PI()*H490^2/400</f>
        <v>0</v>
      </c>
      <c r="K490" s="102">
        <f>0.785*I490</f>
        <v>0</v>
      </c>
      <c r="L490" s="102"/>
      <c r="M490" s="102">
        <f>I490*0.1+K490</f>
        <v>0</v>
      </c>
      <c r="N490" s="84">
        <f>PI()*(($F490/10)^4-($H490/10)^4)/64</f>
        <v>0</v>
      </c>
    </row>
    <row r="491" spans="1:14" ht="11.25" hidden="1">
      <c r="A491" s="23"/>
      <c r="B491" s="15">
        <v>5</v>
      </c>
      <c r="C491" s="23">
        <f t="shared" si="151"/>
        <v>3105</v>
      </c>
      <c r="D491" s="83">
        <f>pol!D491</f>
        <v>0</v>
      </c>
      <c r="E491" s="15">
        <f>pol!E491</f>
        <v>0</v>
      </c>
      <c r="F491" s="86">
        <f>pol!F491*25.4</f>
        <v>0</v>
      </c>
      <c r="G491" s="85">
        <f>pol!G491*25.4</f>
        <v>0</v>
      </c>
      <c r="H491" s="15">
        <f>F491-2*G491</f>
        <v>0</v>
      </c>
      <c r="I491" s="85">
        <f>PI()*(F491^2-H491^2)/400</f>
        <v>0</v>
      </c>
      <c r="J491" s="85">
        <f>PI()*H491^2/400</f>
        <v>0</v>
      </c>
      <c r="K491" s="102">
        <f>0.785*I491</f>
        <v>0</v>
      </c>
      <c r="L491" s="102"/>
      <c r="M491" s="102">
        <f>I491*0.1+K491</f>
        <v>0</v>
      </c>
      <c r="N491" s="84">
        <f>PI()*(($F491/10)^4-($H491/10)^4)/64</f>
        <v>0</v>
      </c>
    </row>
    <row r="492" spans="1:3" ht="11.25" hidden="1">
      <c r="A492" s="23"/>
      <c r="B492" s="15">
        <v>6</v>
      </c>
      <c r="C492" s="23">
        <f t="shared" si="151"/>
        <v>3106</v>
      </c>
    </row>
    <row r="493" spans="1:3" ht="11.25" hidden="1">
      <c r="A493" s="23"/>
      <c r="B493" s="15">
        <v>7</v>
      </c>
      <c r="C493" s="23">
        <f t="shared" si="151"/>
        <v>3107</v>
      </c>
    </row>
    <row r="494" spans="1:3" ht="11.25" hidden="1">
      <c r="A494" s="23"/>
      <c r="B494" s="15">
        <v>8</v>
      </c>
      <c r="C494" s="23">
        <f t="shared" si="151"/>
        <v>3108</v>
      </c>
    </row>
    <row r="495" spans="1:3" ht="11.25" hidden="1">
      <c r="A495" s="23"/>
      <c r="B495" s="15">
        <v>9</v>
      </c>
      <c r="C495" s="23">
        <f t="shared" si="151"/>
        <v>3109</v>
      </c>
    </row>
    <row r="496" spans="1:3" ht="11.25" hidden="1">
      <c r="A496" s="23"/>
      <c r="B496" s="15">
        <v>10</v>
      </c>
      <c r="C496" s="23">
        <f t="shared" si="151"/>
        <v>3110</v>
      </c>
    </row>
    <row r="497" spans="1:3" ht="11.25" hidden="1">
      <c r="A497" s="23"/>
      <c r="B497" s="15">
        <v>11</v>
      </c>
      <c r="C497" s="23">
        <f t="shared" si="151"/>
        <v>3111</v>
      </c>
    </row>
    <row r="498" spans="1:3" ht="11.25" hidden="1">
      <c r="A498" s="23"/>
      <c r="B498" s="15">
        <v>12</v>
      </c>
      <c r="C498" s="23">
        <f t="shared" si="151"/>
        <v>3112</v>
      </c>
    </row>
    <row r="499" spans="1:3" ht="11.25" hidden="1">
      <c r="A499" s="23"/>
      <c r="B499" s="15">
        <v>13</v>
      </c>
      <c r="C499" s="23">
        <f t="shared" si="151"/>
        <v>3113</v>
      </c>
    </row>
    <row r="500" spans="1:3" ht="11.25" hidden="1">
      <c r="A500" s="23"/>
      <c r="B500" s="15">
        <v>14</v>
      </c>
      <c r="C500" s="23">
        <f t="shared" si="151"/>
        <v>3114</v>
      </c>
    </row>
    <row r="501" spans="1:3" ht="11.25" hidden="1">
      <c r="A501" s="23"/>
      <c r="B501" s="15">
        <v>15</v>
      </c>
      <c r="C501" s="23">
        <f t="shared" si="151"/>
        <v>3115</v>
      </c>
    </row>
    <row r="502" spans="1:3" ht="11.25" hidden="1">
      <c r="A502" s="23"/>
      <c r="B502" s="15">
        <v>16</v>
      </c>
      <c r="C502" s="23">
        <f t="shared" si="151"/>
        <v>3116</v>
      </c>
    </row>
    <row r="503" ht="11.25" hidden="1"/>
    <row r="504" ht="11.25" hidden="1"/>
    <row r="505" spans="1:3" ht="11.25" hidden="1">
      <c r="A505" s="87">
        <f>Capa!C28</f>
        <v>20</v>
      </c>
      <c r="C505" s="23"/>
    </row>
    <row r="506" spans="1:16" ht="11.25" hidden="1">
      <c r="A506" s="87">
        <f>$A$505</f>
        <v>20</v>
      </c>
      <c r="B506" s="23">
        <v>1</v>
      </c>
      <c r="C506" s="23">
        <f aca="true" t="shared" si="152" ref="C506:C521">A506*100+B506</f>
        <v>2001</v>
      </c>
      <c r="E506" s="15" t="str">
        <f aca="true" t="shared" si="153" ref="E506:E521">VLOOKUP($C506,$C$7:$P$502,3)</f>
        <v>5s</v>
      </c>
      <c r="F506" s="15">
        <f aca="true" t="shared" si="154" ref="F506:F521">VLOOKUP($C506,$C$7:$P$502,4)</f>
        <v>406.4</v>
      </c>
      <c r="G506" s="15">
        <f aca="true" t="shared" si="155" ref="G506:G521">VLOOKUP($C506,$C$7:$P$502,5)</f>
        <v>4.2926</v>
      </c>
      <c r="H506" s="15">
        <f aca="true" t="shared" si="156" ref="H506:H521">VLOOKUP($C506,$C$7:$P$502,6)</f>
        <v>397.8148</v>
      </c>
      <c r="I506" s="15">
        <f aca="true" t="shared" si="157" ref="I506:I521">VLOOKUP($C506,$C$7:$P$502,7)</f>
        <v>54.226598046765105</v>
      </c>
      <c r="J506" s="15">
        <f aca="true" t="shared" si="158" ref="J506:J521">VLOOKUP($C506,$C$7:$P$502,8)</f>
        <v>1242.944548442829</v>
      </c>
      <c r="K506" s="15">
        <f aca="true" t="shared" si="159" ref="K506:K521">VLOOKUP($C506,$C$7:$P$502,9)</f>
        <v>42.56787946671061</v>
      </c>
      <c r="L506" s="15">
        <f aca="true" t="shared" si="160" ref="L506:L515">VLOOKUP($C506,$C$7:$P$502,10)</f>
        <v>124.29445484428291</v>
      </c>
      <c r="M506" s="15">
        <f aca="true" t="shared" si="161" ref="M506:M515">VLOOKUP($C506,$C$7:$P$502,11)</f>
        <v>166.8623343109935</v>
      </c>
      <c r="N506" s="15">
        <f aca="true" t="shared" si="162" ref="N506:N521">VLOOKUP($C506,$C$7:$P$502,11)</f>
        <v>166.8623343109935</v>
      </c>
      <c r="O506" s="15">
        <f aca="true" t="shared" si="163" ref="O506:O521">VLOOKUP($C506,$C$7:$P$502,12)</f>
        <v>10961.146778846954</v>
      </c>
      <c r="P506" s="15">
        <f aca="true" t="shared" si="164" ref="P506:P521">VLOOKUP($C506,$C$7:$P$502,13)</f>
        <v>539.4265147070352</v>
      </c>
    </row>
    <row r="507" spans="1:16" ht="11.25" hidden="1">
      <c r="A507" s="87">
        <f aca="true" t="shared" si="165" ref="A507:A521">$A$505</f>
        <v>20</v>
      </c>
      <c r="B507" s="23">
        <v>2</v>
      </c>
      <c r="C507" s="23">
        <f t="shared" si="152"/>
        <v>2002</v>
      </c>
      <c r="E507" s="15" t="str">
        <f t="shared" si="153"/>
        <v>10s</v>
      </c>
      <c r="F507" s="15">
        <f t="shared" si="154"/>
        <v>406.4</v>
      </c>
      <c r="G507" s="15">
        <f t="shared" si="155"/>
        <v>4.7752</v>
      </c>
      <c r="H507" s="15">
        <f t="shared" si="156"/>
        <v>396.84959999999995</v>
      </c>
      <c r="I507" s="15">
        <f t="shared" si="157"/>
        <v>60.250681119362206</v>
      </c>
      <c r="J507" s="15">
        <f t="shared" si="158"/>
        <v>1236.920465370232</v>
      </c>
      <c r="K507" s="15">
        <f t="shared" si="159"/>
        <v>47.29678467869933</v>
      </c>
      <c r="L507" s="15">
        <f t="shared" si="160"/>
        <v>123.6920465370232</v>
      </c>
      <c r="M507" s="15">
        <f t="shared" si="161"/>
        <v>170.98883121572254</v>
      </c>
      <c r="N507" s="15">
        <f t="shared" si="162"/>
        <v>170.98883121572254</v>
      </c>
      <c r="O507" s="15">
        <f t="shared" si="163"/>
        <v>12149.947691257308</v>
      </c>
      <c r="P507" s="15">
        <f t="shared" si="164"/>
        <v>597.9304966169935</v>
      </c>
    </row>
    <row r="508" spans="1:16" ht="11.25" hidden="1">
      <c r="A508" s="87">
        <f t="shared" si="165"/>
        <v>20</v>
      </c>
      <c r="B508" s="23">
        <v>3</v>
      </c>
      <c r="C508" s="23">
        <f t="shared" si="152"/>
        <v>2003</v>
      </c>
      <c r="E508" s="15">
        <f t="shared" si="153"/>
        <v>10</v>
      </c>
      <c r="F508" s="15">
        <f t="shared" si="154"/>
        <v>406.4</v>
      </c>
      <c r="G508" s="15">
        <f t="shared" si="155"/>
        <v>6.35</v>
      </c>
      <c r="H508" s="15">
        <f t="shared" si="156"/>
        <v>393.7</v>
      </c>
      <c r="I508" s="15">
        <f t="shared" si="157"/>
        <v>79.80642795785582</v>
      </c>
      <c r="J508" s="15">
        <f t="shared" si="158"/>
        <v>1217.3647185317384</v>
      </c>
      <c r="K508" s="15">
        <f t="shared" si="159"/>
        <v>62.64804594691682</v>
      </c>
      <c r="L508" s="15">
        <f t="shared" si="160"/>
        <v>121.73647185317384</v>
      </c>
      <c r="M508" s="15">
        <f t="shared" si="161"/>
        <v>184.38451780009066</v>
      </c>
      <c r="N508" s="15">
        <f t="shared" si="162"/>
        <v>184.38451780009066</v>
      </c>
      <c r="O508" s="15">
        <f t="shared" si="163"/>
        <v>15969.29865572834</v>
      </c>
      <c r="P508" s="15">
        <f t="shared" si="164"/>
        <v>785.8906818763946</v>
      </c>
    </row>
    <row r="509" spans="1:16" ht="11.25" hidden="1">
      <c r="A509" s="87">
        <f t="shared" si="165"/>
        <v>20</v>
      </c>
      <c r="B509" s="23">
        <v>4</v>
      </c>
      <c r="C509" s="23">
        <f t="shared" si="152"/>
        <v>2004</v>
      </c>
      <c r="E509" s="15">
        <f t="shared" si="153"/>
        <v>20</v>
      </c>
      <c r="F509" s="15">
        <f t="shared" si="154"/>
        <v>406.4</v>
      </c>
      <c r="G509" s="15">
        <f t="shared" si="155"/>
        <v>7.924799999999999</v>
      </c>
      <c r="H509" s="15">
        <f t="shared" si="156"/>
        <v>390.55039999999997</v>
      </c>
      <c r="I509" s="15">
        <f t="shared" si="157"/>
        <v>99.20635211237773</v>
      </c>
      <c r="J509" s="15">
        <f t="shared" si="158"/>
        <v>1197.9647943772165</v>
      </c>
      <c r="K509" s="15">
        <f t="shared" si="159"/>
        <v>77.87698640821652</v>
      </c>
      <c r="L509" s="15">
        <f t="shared" si="160"/>
        <v>119.79647943772166</v>
      </c>
      <c r="M509" s="15">
        <f t="shared" si="161"/>
        <v>197.67346584593818</v>
      </c>
      <c r="N509" s="15">
        <f t="shared" si="162"/>
        <v>197.67346584593818</v>
      </c>
      <c r="O509" s="15">
        <f t="shared" si="163"/>
        <v>19698.07690018578</v>
      </c>
      <c r="P509" s="15">
        <f t="shared" si="164"/>
        <v>969.3935482374892</v>
      </c>
    </row>
    <row r="510" spans="1:16" ht="11.25" hidden="1">
      <c r="A510" s="87">
        <f t="shared" si="165"/>
        <v>20</v>
      </c>
      <c r="B510" s="23">
        <v>5</v>
      </c>
      <c r="C510" s="23">
        <f t="shared" si="152"/>
        <v>2005</v>
      </c>
      <c r="E510" s="15">
        <f t="shared" si="153"/>
        <v>30</v>
      </c>
      <c r="F510" s="15">
        <f t="shared" si="154"/>
        <v>406.4</v>
      </c>
      <c r="G510" s="15">
        <f t="shared" si="155"/>
        <v>9.524999999999999</v>
      </c>
      <c r="H510" s="15">
        <f t="shared" si="156"/>
        <v>387.34999999999997</v>
      </c>
      <c r="I510" s="15">
        <f t="shared" si="157"/>
        <v>118.75956541347627</v>
      </c>
      <c r="J510" s="15">
        <f t="shared" si="158"/>
        <v>1178.411581076118</v>
      </c>
      <c r="K510" s="15">
        <f t="shared" si="159"/>
        <v>93.22625884957887</v>
      </c>
      <c r="L510" s="15">
        <f t="shared" si="160"/>
        <v>117.8411581076118</v>
      </c>
      <c r="M510" s="15">
        <f t="shared" si="161"/>
        <v>211.0674169571907</v>
      </c>
      <c r="N510" s="15">
        <f t="shared" si="162"/>
        <v>211.0674169571907</v>
      </c>
      <c r="O510" s="15">
        <f t="shared" si="163"/>
        <v>23395.707312250426</v>
      </c>
      <c r="P510" s="15">
        <f t="shared" si="164"/>
        <v>1151.3635488312218</v>
      </c>
    </row>
    <row r="511" spans="1:16" ht="11.25" hidden="1">
      <c r="A511" s="87">
        <f t="shared" si="165"/>
        <v>20</v>
      </c>
      <c r="B511" s="23">
        <v>6</v>
      </c>
      <c r="C511" s="23">
        <f t="shared" si="152"/>
        <v>2006</v>
      </c>
      <c r="E511" s="15" t="str">
        <f t="shared" si="153"/>
        <v>STD</v>
      </c>
      <c r="F511" s="15">
        <f t="shared" si="154"/>
        <v>406.4</v>
      </c>
      <c r="G511" s="15">
        <f t="shared" si="155"/>
        <v>9.524999999999999</v>
      </c>
      <c r="H511" s="15">
        <f t="shared" si="156"/>
        <v>387.34999999999997</v>
      </c>
      <c r="I511" s="15">
        <f t="shared" si="157"/>
        <v>118.75956541347627</v>
      </c>
      <c r="J511" s="15">
        <f t="shared" si="158"/>
        <v>1178.411581076118</v>
      </c>
      <c r="K511" s="15">
        <f t="shared" si="159"/>
        <v>93.22625884957887</v>
      </c>
      <c r="L511" s="15">
        <f t="shared" si="160"/>
        <v>117.8411581076118</v>
      </c>
      <c r="M511" s="15">
        <f t="shared" si="161"/>
        <v>211.0674169571907</v>
      </c>
      <c r="N511" s="15">
        <f t="shared" si="162"/>
        <v>211.0674169571907</v>
      </c>
      <c r="O511" s="15">
        <f t="shared" si="163"/>
        <v>23395.707312250426</v>
      </c>
      <c r="P511" s="15">
        <f t="shared" si="164"/>
        <v>1151.3635488312218</v>
      </c>
    </row>
    <row r="512" spans="1:16" ht="11.25" hidden="1">
      <c r="A512" s="87">
        <f t="shared" si="165"/>
        <v>20</v>
      </c>
      <c r="B512" s="23">
        <v>7</v>
      </c>
      <c r="C512" s="23">
        <f t="shared" si="152"/>
        <v>2007</v>
      </c>
      <c r="E512" s="15">
        <f t="shared" si="153"/>
        <v>40</v>
      </c>
      <c r="F512" s="15">
        <f t="shared" si="154"/>
        <v>406.4</v>
      </c>
      <c r="G512" s="15">
        <f t="shared" si="155"/>
        <v>12.7</v>
      </c>
      <c r="H512" s="15">
        <f t="shared" si="156"/>
        <v>381</v>
      </c>
      <c r="I512" s="15">
        <f t="shared" si="157"/>
        <v>157.07931852022423</v>
      </c>
      <c r="J512" s="15">
        <f t="shared" si="158"/>
        <v>1140.09182796937</v>
      </c>
      <c r="K512" s="15">
        <f t="shared" si="159"/>
        <v>123.30726503837603</v>
      </c>
      <c r="L512" s="15">
        <f t="shared" si="160"/>
        <v>114.009182796937</v>
      </c>
      <c r="M512" s="15">
        <f t="shared" si="161"/>
        <v>237.31644783531303</v>
      </c>
      <c r="N512" s="15">
        <f t="shared" si="162"/>
        <v>237.31644783531303</v>
      </c>
      <c r="O512" s="15">
        <f t="shared" si="163"/>
        <v>30465.72624916266</v>
      </c>
      <c r="P512" s="15">
        <f t="shared" si="164"/>
        <v>1499.2975516320207</v>
      </c>
    </row>
    <row r="513" spans="1:16" ht="11.25" hidden="1">
      <c r="A513" s="87">
        <f t="shared" si="165"/>
        <v>20</v>
      </c>
      <c r="B513" s="23">
        <v>8</v>
      </c>
      <c r="C513" s="23">
        <f t="shared" si="152"/>
        <v>2008</v>
      </c>
      <c r="E513" s="15" t="str">
        <f t="shared" si="153"/>
        <v>XS</v>
      </c>
      <c r="F513" s="15">
        <f t="shared" si="154"/>
        <v>406.4</v>
      </c>
      <c r="G513" s="15">
        <f t="shared" si="155"/>
        <v>12.7</v>
      </c>
      <c r="H513" s="15">
        <f t="shared" si="156"/>
        <v>381</v>
      </c>
      <c r="I513" s="15">
        <f t="shared" si="157"/>
        <v>157.07931852022423</v>
      </c>
      <c r="J513" s="15">
        <f t="shared" si="158"/>
        <v>1140.09182796937</v>
      </c>
      <c r="K513" s="15">
        <f t="shared" si="159"/>
        <v>123.30726503837603</v>
      </c>
      <c r="L513" s="15">
        <f t="shared" si="160"/>
        <v>114.009182796937</v>
      </c>
      <c r="M513" s="15">
        <f t="shared" si="161"/>
        <v>237.31644783531303</v>
      </c>
      <c r="N513" s="15">
        <f t="shared" si="162"/>
        <v>237.31644783531303</v>
      </c>
      <c r="O513" s="15">
        <f t="shared" si="163"/>
        <v>30465.72624916266</v>
      </c>
      <c r="P513" s="15">
        <f t="shared" si="164"/>
        <v>1499.2975516320207</v>
      </c>
    </row>
    <row r="514" spans="1:16" ht="11.25" hidden="1">
      <c r="A514" s="87">
        <f t="shared" si="165"/>
        <v>20</v>
      </c>
      <c r="B514" s="23">
        <v>9</v>
      </c>
      <c r="C514" s="23">
        <f t="shared" si="152"/>
        <v>2009</v>
      </c>
      <c r="E514" s="15">
        <f t="shared" si="153"/>
        <v>60</v>
      </c>
      <c r="F514" s="15">
        <f t="shared" si="154"/>
        <v>406.4</v>
      </c>
      <c r="G514" s="15">
        <f t="shared" si="155"/>
        <v>16.662399999999998</v>
      </c>
      <c r="H514" s="15">
        <f t="shared" si="156"/>
        <v>373.0752</v>
      </c>
      <c r="I514" s="15">
        <f t="shared" si="157"/>
        <v>204.01388923529737</v>
      </c>
      <c r="J514" s="15">
        <f t="shared" si="158"/>
        <v>1093.1572572542968</v>
      </c>
      <c r="K514" s="15">
        <f t="shared" si="159"/>
        <v>160.15090304970843</v>
      </c>
      <c r="L514" s="15">
        <f t="shared" si="160"/>
        <v>109.31572572542969</v>
      </c>
      <c r="M514" s="15">
        <f t="shared" si="161"/>
        <v>269.46662877513813</v>
      </c>
      <c r="N514" s="15">
        <f t="shared" si="162"/>
        <v>269.46662877513813</v>
      </c>
      <c r="O514" s="15">
        <f t="shared" si="163"/>
        <v>38806.76522783426</v>
      </c>
      <c r="P514" s="15">
        <f t="shared" si="164"/>
        <v>1909.7817533383</v>
      </c>
    </row>
    <row r="515" spans="1:16" ht="11.25" hidden="1">
      <c r="A515" s="87">
        <f t="shared" si="165"/>
        <v>20</v>
      </c>
      <c r="B515" s="23">
        <v>10</v>
      </c>
      <c r="C515" s="23">
        <f t="shared" si="152"/>
        <v>2010</v>
      </c>
      <c r="E515" s="15">
        <f t="shared" si="153"/>
        <v>80</v>
      </c>
      <c r="F515" s="15">
        <f t="shared" si="154"/>
        <v>406.4</v>
      </c>
      <c r="G515" s="15">
        <f t="shared" si="155"/>
        <v>21.4122</v>
      </c>
      <c r="H515" s="15">
        <f t="shared" si="156"/>
        <v>363.5756</v>
      </c>
      <c r="I515" s="15">
        <f t="shared" si="157"/>
        <v>258.9751725901555</v>
      </c>
      <c r="J515" s="15">
        <f t="shared" si="158"/>
        <v>1038.1959738994387</v>
      </c>
      <c r="K515" s="15">
        <f t="shared" si="159"/>
        <v>203.2955104832721</v>
      </c>
      <c r="L515" s="15">
        <f t="shared" si="160"/>
        <v>103.81959738994388</v>
      </c>
      <c r="M515" s="15">
        <f t="shared" si="161"/>
        <v>307.11510787321595</v>
      </c>
      <c r="N515" s="15">
        <f t="shared" si="162"/>
        <v>307.11510787321595</v>
      </c>
      <c r="O515" s="15">
        <f t="shared" si="163"/>
        <v>48128.622147514674</v>
      </c>
      <c r="P515" s="15">
        <f t="shared" si="164"/>
        <v>2368.534554503675</v>
      </c>
    </row>
    <row r="516" spans="1:16" ht="11.25" hidden="1">
      <c r="A516" s="87">
        <f t="shared" si="165"/>
        <v>20</v>
      </c>
      <c r="B516" s="23">
        <v>11</v>
      </c>
      <c r="C516" s="23">
        <f t="shared" si="152"/>
        <v>2011</v>
      </c>
      <c r="E516" s="15">
        <f t="shared" si="153"/>
        <v>100</v>
      </c>
      <c r="F516" s="15">
        <f t="shared" si="154"/>
        <v>406.4</v>
      </c>
      <c r="G516" s="15">
        <f t="shared" si="155"/>
        <v>26.187399999999997</v>
      </c>
      <c r="H516" s="15">
        <f t="shared" si="156"/>
        <v>354.0252</v>
      </c>
      <c r="I516" s="15">
        <f t="shared" si="157"/>
        <v>312.80145146013473</v>
      </c>
      <c r="J516" s="15">
        <f t="shared" si="158"/>
        <v>984.3696950294594</v>
      </c>
      <c r="K516" s="15">
        <f t="shared" si="159"/>
        <v>245.54913939620576</v>
      </c>
      <c r="M516" s="15">
        <f aca="true" t="shared" si="166" ref="M516:M521">VLOOKUP($C516,$C$7:$P$502,10)</f>
        <v>98.43696950294594</v>
      </c>
      <c r="N516" s="15">
        <f t="shared" si="162"/>
        <v>343.9861088991517</v>
      </c>
      <c r="O516" s="15">
        <f t="shared" si="163"/>
        <v>56791.997362965834</v>
      </c>
      <c r="P516" s="15">
        <f t="shared" si="164"/>
        <v>2794.881759988476</v>
      </c>
    </row>
    <row r="517" spans="1:16" ht="11.25" hidden="1">
      <c r="A517" s="87">
        <f t="shared" si="165"/>
        <v>20</v>
      </c>
      <c r="B517" s="23">
        <v>12</v>
      </c>
      <c r="C517" s="23">
        <f t="shared" si="152"/>
        <v>2012</v>
      </c>
      <c r="E517" s="15">
        <f t="shared" si="153"/>
        <v>120</v>
      </c>
      <c r="F517" s="15">
        <f t="shared" si="154"/>
        <v>406.4</v>
      </c>
      <c r="G517" s="15">
        <f t="shared" si="155"/>
        <v>30.937199999999997</v>
      </c>
      <c r="H517" s="15">
        <f t="shared" si="156"/>
        <v>344.5256</v>
      </c>
      <c r="I517" s="15">
        <f t="shared" si="157"/>
        <v>364.920105857256</v>
      </c>
      <c r="J517" s="15">
        <f t="shared" si="158"/>
        <v>932.2510406323381</v>
      </c>
      <c r="K517" s="15">
        <f t="shared" si="159"/>
        <v>286.46228309794594</v>
      </c>
      <c r="M517" s="15">
        <f t="shared" si="166"/>
        <v>93.22510406323381</v>
      </c>
      <c r="N517" s="15">
        <f t="shared" si="162"/>
        <v>379.68738716117974</v>
      </c>
      <c r="O517" s="15">
        <f t="shared" si="163"/>
        <v>64741.125778625516</v>
      </c>
      <c r="P517" s="15">
        <f t="shared" si="164"/>
        <v>3186.079024538657</v>
      </c>
    </row>
    <row r="518" spans="1:16" ht="11.25" hidden="1">
      <c r="A518" s="87">
        <f t="shared" si="165"/>
        <v>20</v>
      </c>
      <c r="B518" s="23">
        <v>13</v>
      </c>
      <c r="C518" s="23">
        <f t="shared" si="152"/>
        <v>2013</v>
      </c>
      <c r="E518" s="15">
        <f t="shared" si="153"/>
        <v>140</v>
      </c>
      <c r="F518" s="15">
        <f t="shared" si="154"/>
        <v>406.4</v>
      </c>
      <c r="G518" s="15">
        <f t="shared" si="155"/>
        <v>36.5252</v>
      </c>
      <c r="H518" s="15">
        <f t="shared" si="156"/>
        <v>333.3496</v>
      </c>
      <c r="I518" s="15">
        <f t="shared" si="157"/>
        <v>424.4213463467336</v>
      </c>
      <c r="J518" s="15">
        <f t="shared" si="158"/>
        <v>872.7498001428605</v>
      </c>
      <c r="K518" s="15">
        <f t="shared" si="159"/>
        <v>333.1707568821859</v>
      </c>
      <c r="M518" s="15">
        <f t="shared" si="166"/>
        <v>87.27498001428606</v>
      </c>
      <c r="N518" s="15">
        <f t="shared" si="162"/>
        <v>420.445736896472</v>
      </c>
      <c r="O518" s="15">
        <f t="shared" si="163"/>
        <v>73287.72944062097</v>
      </c>
      <c r="P518" s="15">
        <f t="shared" si="164"/>
        <v>3606.679598455756</v>
      </c>
    </row>
    <row r="519" spans="1:16" ht="11.25" hidden="1">
      <c r="A519" s="87">
        <f t="shared" si="165"/>
        <v>20</v>
      </c>
      <c r="B519" s="23">
        <v>14</v>
      </c>
      <c r="C519" s="23">
        <f t="shared" si="152"/>
        <v>2014</v>
      </c>
      <c r="E519" s="15">
        <f t="shared" si="153"/>
        <v>160</v>
      </c>
      <c r="F519" s="15">
        <f t="shared" si="154"/>
        <v>406.4</v>
      </c>
      <c r="G519" s="15">
        <f t="shared" si="155"/>
        <v>40.462199999999996</v>
      </c>
      <c r="H519" s="15">
        <f t="shared" si="156"/>
        <v>325.4756</v>
      </c>
      <c r="I519" s="15">
        <f t="shared" si="157"/>
        <v>465.1645799845094</v>
      </c>
      <c r="J519" s="15">
        <f t="shared" si="158"/>
        <v>832.0065665050847</v>
      </c>
      <c r="K519" s="15">
        <f t="shared" si="159"/>
        <v>365.15419528783985</v>
      </c>
      <c r="M519" s="15">
        <f t="shared" si="166"/>
        <v>83.20065665050848</v>
      </c>
      <c r="N519" s="15">
        <f t="shared" si="162"/>
        <v>448.35485193834836</v>
      </c>
      <c r="O519" s="15">
        <f t="shared" si="163"/>
        <v>78814.96471589265</v>
      </c>
      <c r="P519" s="15">
        <f t="shared" si="164"/>
        <v>3878.689208459284</v>
      </c>
    </row>
    <row r="520" spans="1:16" ht="11.25" hidden="1">
      <c r="A520" s="87">
        <f t="shared" si="165"/>
        <v>20</v>
      </c>
      <c r="B520" s="23">
        <v>15</v>
      </c>
      <c r="C520" s="23">
        <f t="shared" si="152"/>
        <v>2015</v>
      </c>
      <c r="E520" s="15">
        <f t="shared" si="153"/>
        <v>0</v>
      </c>
      <c r="F520" s="15">
        <f t="shared" si="154"/>
        <v>0</v>
      </c>
      <c r="G520" s="15">
        <f t="shared" si="155"/>
        <v>0</v>
      </c>
      <c r="H520" s="15">
        <f t="shared" si="156"/>
        <v>0</v>
      </c>
      <c r="I520" s="15">
        <f t="shared" si="157"/>
        <v>0</v>
      </c>
      <c r="J520" s="15">
        <f t="shared" si="158"/>
        <v>0</v>
      </c>
      <c r="K520" s="15">
        <f t="shared" si="159"/>
        <v>0</v>
      </c>
      <c r="M520" s="15">
        <f t="shared" si="166"/>
        <v>0</v>
      </c>
      <c r="N520" s="15">
        <f t="shared" si="162"/>
        <v>0</v>
      </c>
      <c r="O520" s="15">
        <f t="shared" si="163"/>
        <v>0</v>
      </c>
      <c r="P520" s="15">
        <f t="shared" si="164"/>
        <v>0</v>
      </c>
    </row>
    <row r="521" spans="1:16" ht="11.25">
      <c r="A521" s="87">
        <f t="shared" si="165"/>
        <v>20</v>
      </c>
      <c r="B521" s="23">
        <v>16</v>
      </c>
      <c r="C521" s="23">
        <f t="shared" si="152"/>
        <v>2016</v>
      </c>
      <c r="E521" s="15">
        <f t="shared" si="153"/>
        <v>0</v>
      </c>
      <c r="F521" s="15">
        <f t="shared" si="154"/>
        <v>0</v>
      </c>
      <c r="G521" s="15">
        <f t="shared" si="155"/>
        <v>0</v>
      </c>
      <c r="H521" s="15">
        <f t="shared" si="156"/>
        <v>0</v>
      </c>
      <c r="I521" s="15">
        <f t="shared" si="157"/>
        <v>0</v>
      </c>
      <c r="J521" s="15">
        <f t="shared" si="158"/>
        <v>0</v>
      </c>
      <c r="K521" s="15">
        <f t="shared" si="159"/>
        <v>0</v>
      </c>
      <c r="M521" s="15">
        <f t="shared" si="166"/>
        <v>0</v>
      </c>
      <c r="N521" s="15">
        <f t="shared" si="162"/>
        <v>0</v>
      </c>
      <c r="O521" s="15">
        <f t="shared" si="163"/>
        <v>0</v>
      </c>
      <c r="P521" s="15">
        <f t="shared" si="164"/>
        <v>0</v>
      </c>
    </row>
  </sheetData>
  <sheetProtection password="C420" sheet="1" objects="1" scenarios="1" selectLockedCells="1"/>
  <mergeCells count="2">
    <mergeCell ref="K3:P3"/>
    <mergeCell ref="D2:J3"/>
  </mergeCells>
  <printOptions horizontalCentered="1"/>
  <pageMargins left="0.984251968503937" right="0.1968503937007874"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Z35"/>
  <sheetViews>
    <sheetView showGridLines="0" showRowColHeaders="0" showZeros="0" zoomScalePageLayoutView="0" workbookViewId="0" topLeftCell="A1">
      <pane xSplit="2" ySplit="7" topLeftCell="C8" activePane="bottomRight" state="frozen"/>
      <selection pane="topLeft" activeCell="A1" sqref="A1"/>
      <selection pane="topRight" activeCell="B1" sqref="B1"/>
      <selection pane="bottomLeft" activeCell="A6" sqref="A6"/>
      <selection pane="bottomRight" activeCell="A1" sqref="A1:A16384"/>
    </sheetView>
  </sheetViews>
  <sheetFormatPr defaultColWidth="9.140625" defaultRowHeight="12.75"/>
  <cols>
    <col min="1" max="1" width="2.7109375" style="30" hidden="1" customWidth="1"/>
    <col min="2" max="2" width="14.421875" style="15" bestFit="1" customWidth="1"/>
    <col min="3" max="3" width="3.8515625" style="86" customWidth="1"/>
    <col min="4" max="4" width="4.28125" style="15" customWidth="1"/>
    <col min="5" max="15" width="4.28125" style="86" customWidth="1"/>
    <col min="16" max="21" width="4.28125" style="112" customWidth="1"/>
    <col min="22" max="29" width="4.28125" style="30" customWidth="1"/>
    <col min="30" max="30" width="15.7109375" style="30" customWidth="1"/>
    <col min="31" max="31" width="4.7109375" style="30" customWidth="1"/>
    <col min="32" max="32" width="3.7109375" style="30" customWidth="1"/>
    <col min="33" max="33" width="4.7109375" style="30" customWidth="1"/>
    <col min="34" max="34" width="3.7109375" style="30" customWidth="1"/>
    <col min="35" max="35" width="4.7109375" style="30" customWidth="1"/>
    <col min="36" max="36" width="3.7109375" style="30" customWidth="1"/>
    <col min="37" max="37" width="4.7109375" style="30" customWidth="1"/>
    <col min="38" max="38" width="3.7109375" style="30" customWidth="1"/>
    <col min="39" max="39" width="4.7109375" style="30" customWidth="1"/>
    <col min="40" max="40" width="3.7109375" style="30" customWidth="1"/>
    <col min="41" max="41" width="4.7109375" style="30" customWidth="1"/>
    <col min="42" max="42" width="3.7109375" style="30" customWidth="1"/>
    <col min="43" max="43" width="4.7109375" style="30" customWidth="1"/>
    <col min="44" max="44" width="3.7109375" style="30" customWidth="1"/>
    <col min="45" max="45" width="4.8515625" style="30" customWidth="1"/>
    <col min="46" max="50" width="3.7109375" style="30" customWidth="1"/>
    <col min="51" max="52" width="3.7109375" style="15" customWidth="1"/>
    <col min="53" max="16384" width="9.140625" style="30" customWidth="1"/>
  </cols>
  <sheetData>
    <row r="1" spans="2:15" ht="6" customHeight="1" thickBot="1">
      <c r="B1"/>
      <c r="C1"/>
      <c r="D1"/>
      <c r="E1"/>
      <c r="F1"/>
      <c r="G1"/>
      <c r="H1"/>
      <c r="I1"/>
      <c r="J1" s="110"/>
      <c r="K1" s="110"/>
      <c r="L1" s="111"/>
      <c r="M1" s="111"/>
      <c r="N1" s="111"/>
      <c r="O1" s="111"/>
    </row>
    <row r="2" spans="2:15" ht="12" customHeight="1" thickTop="1">
      <c r="B2" s="242" t="s">
        <v>173</v>
      </c>
      <c r="C2" s="243"/>
      <c r="D2" s="243"/>
      <c r="E2" s="243"/>
      <c r="F2" s="243"/>
      <c r="G2" s="243"/>
      <c r="H2" s="244"/>
      <c r="I2"/>
      <c r="J2" s="110"/>
      <c r="K2" s="110"/>
      <c r="L2" s="111"/>
      <c r="M2" s="111"/>
      <c r="N2" s="111"/>
      <c r="O2" s="111"/>
    </row>
    <row r="3" spans="2:15" ht="13.5" customHeight="1" thickBot="1">
      <c r="B3" s="245"/>
      <c r="C3" s="246"/>
      <c r="D3" s="246"/>
      <c r="E3" s="246"/>
      <c r="F3" s="246"/>
      <c r="G3" s="246"/>
      <c r="H3" s="247"/>
      <c r="I3"/>
      <c r="K3" s="114" t="s">
        <v>17</v>
      </c>
      <c r="L3" s="113"/>
      <c r="M3" s="113"/>
      <c r="N3" s="113"/>
      <c r="O3" s="113"/>
    </row>
    <row r="4" spans="2:15" ht="4.5" customHeight="1" thickTop="1">
      <c r="B4" s="68"/>
      <c r="C4" s="70"/>
      <c r="D4" s="69"/>
      <c r="E4" s="70"/>
      <c r="F4" s="110"/>
      <c r="G4" s="110"/>
      <c r="H4" s="110"/>
      <c r="I4" s="110"/>
      <c r="J4" s="110"/>
      <c r="K4" s="110"/>
      <c r="L4" s="111"/>
      <c r="M4" s="111"/>
      <c r="N4" s="111"/>
      <c r="O4" s="111"/>
    </row>
    <row r="5" spans="2:52" ht="18" customHeight="1">
      <c r="B5" s="309" t="s">
        <v>62</v>
      </c>
      <c r="C5" s="287" t="s">
        <v>119</v>
      </c>
      <c r="D5" s="301" t="s">
        <v>60</v>
      </c>
      <c r="E5" s="314" t="s">
        <v>59</v>
      </c>
      <c r="F5" s="303" t="s">
        <v>61</v>
      </c>
      <c r="G5" s="304"/>
      <c r="H5" s="304"/>
      <c r="I5" s="304"/>
      <c r="J5" s="304"/>
      <c r="K5" s="304"/>
      <c r="L5" s="304"/>
      <c r="M5" s="304"/>
      <c r="N5" s="304"/>
      <c r="O5" s="304"/>
      <c r="P5" s="304"/>
      <c r="Q5" s="304"/>
      <c r="R5" s="304"/>
      <c r="S5" s="304"/>
      <c r="T5" s="304"/>
      <c r="U5" s="304"/>
      <c r="V5" s="304"/>
      <c r="W5" s="304"/>
      <c r="X5" s="304"/>
      <c r="Y5" s="304"/>
      <c r="Z5" s="304"/>
      <c r="AA5" s="304"/>
      <c r="AB5" s="304"/>
      <c r="AC5" s="305"/>
      <c r="AD5" s="298" t="s">
        <v>81</v>
      </c>
      <c r="AE5" s="324" t="s">
        <v>67</v>
      </c>
      <c r="AF5" s="325"/>
      <c r="AG5" s="325"/>
      <c r="AH5" s="325"/>
      <c r="AI5" s="325"/>
      <c r="AJ5" s="325"/>
      <c r="AK5" s="325"/>
      <c r="AL5" s="325"/>
      <c r="AM5" s="325"/>
      <c r="AN5" s="325"/>
      <c r="AO5" s="325"/>
      <c r="AP5" s="325"/>
      <c r="AQ5" s="325"/>
      <c r="AR5" s="326"/>
      <c r="AS5" s="318" t="s">
        <v>76</v>
      </c>
      <c r="AT5" s="319"/>
      <c r="AU5" s="319"/>
      <c r="AV5" s="319"/>
      <c r="AW5" s="319"/>
      <c r="AX5" s="320"/>
      <c r="AY5" s="311" t="s">
        <v>159</v>
      </c>
      <c r="AZ5" s="311" t="s">
        <v>149</v>
      </c>
    </row>
    <row r="6" spans="2:52" ht="18" customHeight="1">
      <c r="B6" s="310"/>
      <c r="C6" s="288"/>
      <c r="D6" s="302"/>
      <c r="E6" s="315"/>
      <c r="F6" s="306"/>
      <c r="G6" s="307"/>
      <c r="H6" s="307"/>
      <c r="I6" s="307"/>
      <c r="J6" s="307"/>
      <c r="K6" s="307"/>
      <c r="L6" s="307"/>
      <c r="M6" s="307"/>
      <c r="N6" s="307"/>
      <c r="O6" s="307"/>
      <c r="P6" s="307"/>
      <c r="Q6" s="307"/>
      <c r="R6" s="307"/>
      <c r="S6" s="307"/>
      <c r="T6" s="307"/>
      <c r="U6" s="307"/>
      <c r="V6" s="307"/>
      <c r="W6" s="307"/>
      <c r="X6" s="307"/>
      <c r="Y6" s="307"/>
      <c r="Z6" s="307"/>
      <c r="AA6" s="307"/>
      <c r="AB6" s="307"/>
      <c r="AC6" s="308"/>
      <c r="AD6" s="299"/>
      <c r="AE6" s="316" t="s">
        <v>71</v>
      </c>
      <c r="AF6" s="295"/>
      <c r="AG6" s="294" t="s">
        <v>63</v>
      </c>
      <c r="AH6" s="295"/>
      <c r="AI6" s="294" t="s">
        <v>96</v>
      </c>
      <c r="AJ6" s="295"/>
      <c r="AK6" s="294" t="s">
        <v>64</v>
      </c>
      <c r="AL6" s="295"/>
      <c r="AM6" s="294" t="s">
        <v>102</v>
      </c>
      <c r="AN6" s="295"/>
      <c r="AO6" s="294" t="s">
        <v>97</v>
      </c>
      <c r="AP6" s="295"/>
      <c r="AQ6" s="294" t="s">
        <v>65</v>
      </c>
      <c r="AR6" s="327"/>
      <c r="AS6" s="321" t="s">
        <v>82</v>
      </c>
      <c r="AT6" s="322"/>
      <c r="AU6" s="291" t="s">
        <v>83</v>
      </c>
      <c r="AV6" s="292"/>
      <c r="AW6" s="292"/>
      <c r="AX6" s="293"/>
      <c r="AY6" s="312"/>
      <c r="AZ6" s="312"/>
    </row>
    <row r="7" spans="2:52" s="87" customFormat="1" ht="18" customHeight="1" thickBot="1">
      <c r="B7" s="134"/>
      <c r="C7" s="289"/>
      <c r="D7" s="135"/>
      <c r="E7" s="136"/>
      <c r="F7" s="230">
        <v>100</v>
      </c>
      <c r="G7" s="230">
        <v>200</v>
      </c>
      <c r="H7" s="230">
        <v>300</v>
      </c>
      <c r="I7" s="230">
        <v>400</v>
      </c>
      <c r="J7" s="230">
        <v>500</v>
      </c>
      <c r="K7" s="230">
        <v>600</v>
      </c>
      <c r="L7" s="230">
        <v>650</v>
      </c>
      <c r="M7" s="230">
        <v>700</v>
      </c>
      <c r="N7" s="230">
        <v>750</v>
      </c>
      <c r="O7" s="230">
        <v>800</v>
      </c>
      <c r="P7" s="230">
        <v>850</v>
      </c>
      <c r="Q7" s="230">
        <v>900</v>
      </c>
      <c r="R7" s="230">
        <v>950</v>
      </c>
      <c r="S7" s="230">
        <v>1000</v>
      </c>
      <c r="T7" s="230">
        <v>1050</v>
      </c>
      <c r="U7" s="230">
        <v>1100</v>
      </c>
      <c r="V7" s="230">
        <v>1150</v>
      </c>
      <c r="W7" s="230">
        <v>1200</v>
      </c>
      <c r="X7" s="231">
        <v>1250</v>
      </c>
      <c r="Y7" s="231">
        <v>1300</v>
      </c>
      <c r="Z7" s="231">
        <v>1350</v>
      </c>
      <c r="AA7" s="231">
        <v>1400</v>
      </c>
      <c r="AB7" s="231">
        <v>1450</v>
      </c>
      <c r="AC7" s="231">
        <v>1500</v>
      </c>
      <c r="AD7" s="300"/>
      <c r="AE7" s="317"/>
      <c r="AF7" s="297"/>
      <c r="AG7" s="296"/>
      <c r="AH7" s="297"/>
      <c r="AI7" s="296"/>
      <c r="AJ7" s="297"/>
      <c r="AK7" s="296"/>
      <c r="AL7" s="297"/>
      <c r="AM7" s="296"/>
      <c r="AN7" s="297"/>
      <c r="AO7" s="296"/>
      <c r="AP7" s="297"/>
      <c r="AQ7" s="296"/>
      <c r="AR7" s="323"/>
      <c r="AS7" s="317"/>
      <c r="AT7" s="323"/>
      <c r="AU7" s="290" t="s">
        <v>84</v>
      </c>
      <c r="AV7" s="290"/>
      <c r="AW7" s="290" t="s">
        <v>85</v>
      </c>
      <c r="AX7" s="290"/>
      <c r="AY7" s="313"/>
      <c r="AZ7" s="313"/>
    </row>
    <row r="8" spans="1:52" s="121" customFormat="1" ht="12" customHeight="1" thickTop="1">
      <c r="A8" s="121">
        <v>1</v>
      </c>
      <c r="B8" s="122" t="s">
        <v>66</v>
      </c>
      <c r="C8" s="162">
        <v>-20</v>
      </c>
      <c r="D8" s="123">
        <v>60</v>
      </c>
      <c r="E8" s="124">
        <v>35</v>
      </c>
      <c r="F8" s="124">
        <v>20</v>
      </c>
      <c r="G8" s="124">
        <v>20</v>
      </c>
      <c r="H8" s="124">
        <v>20</v>
      </c>
      <c r="I8" s="124">
        <v>20</v>
      </c>
      <c r="J8" s="124">
        <v>18.9</v>
      </c>
      <c r="K8" s="124">
        <v>17.3</v>
      </c>
      <c r="L8" s="124">
        <v>17</v>
      </c>
      <c r="M8" s="124">
        <v>16.5</v>
      </c>
      <c r="N8" s="124">
        <v>13</v>
      </c>
      <c r="O8" s="124">
        <v>10.8</v>
      </c>
      <c r="P8" s="124">
        <v>8.7</v>
      </c>
      <c r="Q8" s="124">
        <v>6.5</v>
      </c>
      <c r="R8" s="124">
        <v>4.5</v>
      </c>
      <c r="S8" s="124">
        <v>2.5</v>
      </c>
      <c r="T8" s="124">
        <v>1.6</v>
      </c>
      <c r="U8" s="124">
        <v>1</v>
      </c>
      <c r="V8" s="124"/>
      <c r="W8" s="124"/>
      <c r="X8" s="152"/>
      <c r="Y8" s="152"/>
      <c r="Z8" s="152"/>
      <c r="AA8" s="152"/>
      <c r="AB8" s="152"/>
      <c r="AC8" s="152"/>
      <c r="AD8" s="206" t="s">
        <v>150</v>
      </c>
      <c r="AE8" s="146">
        <v>1</v>
      </c>
      <c r="AF8" s="151" t="s">
        <v>87</v>
      </c>
      <c r="AG8" s="143">
        <v>0.85</v>
      </c>
      <c r="AH8" s="151" t="s">
        <v>88</v>
      </c>
      <c r="AI8" s="153"/>
      <c r="AJ8" s="139" t="s">
        <v>72</v>
      </c>
      <c r="AK8" s="143"/>
      <c r="AL8" s="139" t="s">
        <v>72</v>
      </c>
      <c r="AM8" s="156"/>
      <c r="AN8" s="139" t="s">
        <v>72</v>
      </c>
      <c r="AO8" s="143"/>
      <c r="AP8" s="139" t="s">
        <v>72</v>
      </c>
      <c r="AQ8" s="143">
        <v>0.6</v>
      </c>
      <c r="AR8" s="149" t="s">
        <v>89</v>
      </c>
      <c r="AS8" s="126">
        <v>12.5</v>
      </c>
      <c r="AT8" s="127" t="s">
        <v>75</v>
      </c>
      <c r="AU8" s="126"/>
      <c r="AV8" s="127"/>
      <c r="AW8" s="126"/>
      <c r="AX8" s="127"/>
      <c r="AY8" s="128" t="s">
        <v>141</v>
      </c>
      <c r="AZ8" s="128">
        <v>142</v>
      </c>
    </row>
    <row r="9" spans="1:52" s="121" customFormat="1" ht="12" customHeight="1">
      <c r="A9" s="121">
        <v>2</v>
      </c>
      <c r="B9" s="128" t="s">
        <v>58</v>
      </c>
      <c r="C9" s="163">
        <v>-20</v>
      </c>
      <c r="D9" s="129">
        <v>60</v>
      </c>
      <c r="E9" s="130">
        <v>35</v>
      </c>
      <c r="F9" s="130">
        <v>20</v>
      </c>
      <c r="G9" s="130">
        <v>20</v>
      </c>
      <c r="H9" s="130">
        <v>20</v>
      </c>
      <c r="I9" s="130">
        <v>20</v>
      </c>
      <c r="J9" s="130">
        <v>18.9</v>
      </c>
      <c r="K9" s="130">
        <v>17.3</v>
      </c>
      <c r="L9" s="130">
        <v>17</v>
      </c>
      <c r="M9" s="130">
        <v>16.5</v>
      </c>
      <c r="N9" s="130">
        <v>13</v>
      </c>
      <c r="O9" s="130">
        <v>10.8</v>
      </c>
      <c r="P9" s="130">
        <v>8.7</v>
      </c>
      <c r="Q9" s="130">
        <v>6.5</v>
      </c>
      <c r="R9" s="130">
        <v>4.5</v>
      </c>
      <c r="S9" s="130">
        <v>2.5</v>
      </c>
      <c r="T9" s="130">
        <v>1.6</v>
      </c>
      <c r="U9" s="130">
        <v>1</v>
      </c>
      <c r="V9" s="130"/>
      <c r="W9" s="130"/>
      <c r="X9" s="152"/>
      <c r="Y9" s="152"/>
      <c r="Z9" s="152"/>
      <c r="AA9" s="152"/>
      <c r="AB9" s="152"/>
      <c r="AC9" s="152"/>
      <c r="AD9" s="206" t="s">
        <v>151</v>
      </c>
      <c r="AE9" s="147">
        <v>1</v>
      </c>
      <c r="AF9" s="139" t="s">
        <v>72</v>
      </c>
      <c r="AG9" s="141"/>
      <c r="AH9" s="139" t="s">
        <v>72</v>
      </c>
      <c r="AI9" s="154"/>
      <c r="AJ9" s="139" t="s">
        <v>72</v>
      </c>
      <c r="AK9" s="141"/>
      <c r="AL9" s="139" t="s">
        <v>72</v>
      </c>
      <c r="AM9" s="154"/>
      <c r="AN9" s="139" t="s">
        <v>72</v>
      </c>
      <c r="AO9" s="141"/>
      <c r="AP9" s="139" t="s">
        <v>72</v>
      </c>
      <c r="AQ9" s="141"/>
      <c r="AR9" s="139" t="s">
        <v>72</v>
      </c>
      <c r="AS9" s="131">
        <v>12.5</v>
      </c>
      <c r="AT9" s="132" t="s">
        <v>75</v>
      </c>
      <c r="AU9" s="131"/>
      <c r="AV9" s="132"/>
      <c r="AW9" s="131"/>
      <c r="AX9" s="132"/>
      <c r="AY9" s="122" t="s">
        <v>141</v>
      </c>
      <c r="AZ9" s="128">
        <v>142</v>
      </c>
    </row>
    <row r="10" spans="1:52" s="121" customFormat="1" ht="12" customHeight="1">
      <c r="A10" s="121">
        <v>3</v>
      </c>
      <c r="B10" s="128" t="s">
        <v>103</v>
      </c>
      <c r="C10" s="163">
        <v>-425</v>
      </c>
      <c r="D10" s="129">
        <v>75</v>
      </c>
      <c r="E10" s="130">
        <v>30</v>
      </c>
      <c r="F10" s="130">
        <v>20</v>
      </c>
      <c r="G10" s="130">
        <v>20</v>
      </c>
      <c r="H10" s="130">
        <v>20</v>
      </c>
      <c r="I10" s="130">
        <v>18.7</v>
      </c>
      <c r="J10" s="130">
        <v>17.5</v>
      </c>
      <c r="K10" s="130">
        <v>16.4</v>
      </c>
      <c r="L10" s="130">
        <v>16.2</v>
      </c>
      <c r="M10" s="130">
        <v>16</v>
      </c>
      <c r="N10" s="130">
        <v>15.6</v>
      </c>
      <c r="O10" s="130">
        <v>15.2</v>
      </c>
      <c r="P10" s="130">
        <v>14.9</v>
      </c>
      <c r="Q10" s="130">
        <v>14.6</v>
      </c>
      <c r="R10" s="130">
        <v>14.4</v>
      </c>
      <c r="S10" s="130">
        <v>13.8</v>
      </c>
      <c r="T10" s="130">
        <v>12.2</v>
      </c>
      <c r="U10" s="130">
        <v>9.7</v>
      </c>
      <c r="V10" s="130">
        <v>7.7</v>
      </c>
      <c r="W10" s="130">
        <v>6</v>
      </c>
      <c r="X10" s="152">
        <v>4.7</v>
      </c>
      <c r="Y10" s="152">
        <v>3.7</v>
      </c>
      <c r="Z10" s="152">
        <v>2.9</v>
      </c>
      <c r="AA10" s="152">
        <v>2.3</v>
      </c>
      <c r="AB10" s="152">
        <v>1.8</v>
      </c>
      <c r="AC10" s="152">
        <v>1.4</v>
      </c>
      <c r="AD10" s="206" t="s">
        <v>152</v>
      </c>
      <c r="AE10" s="147">
        <v>1</v>
      </c>
      <c r="AF10" s="139" t="s">
        <v>72</v>
      </c>
      <c r="AG10" s="141"/>
      <c r="AH10" s="139" t="s">
        <v>72</v>
      </c>
      <c r="AI10" s="154">
        <v>0.8</v>
      </c>
      <c r="AJ10" s="139" t="s">
        <v>72</v>
      </c>
      <c r="AK10" s="141">
        <v>0.85</v>
      </c>
      <c r="AL10" s="139" t="s">
        <v>72</v>
      </c>
      <c r="AM10" s="154"/>
      <c r="AN10" s="139" t="s">
        <v>72</v>
      </c>
      <c r="AO10" s="141"/>
      <c r="AP10" s="139" t="s">
        <v>72</v>
      </c>
      <c r="AQ10" s="141"/>
      <c r="AR10" s="139" t="s">
        <v>72</v>
      </c>
      <c r="AS10" s="131">
        <v>12.5</v>
      </c>
      <c r="AT10" s="132" t="s">
        <v>75</v>
      </c>
      <c r="AU10" s="131"/>
      <c r="AV10" s="132"/>
      <c r="AW10" s="131"/>
      <c r="AX10" s="132"/>
      <c r="AY10" s="122" t="s">
        <v>142</v>
      </c>
      <c r="AZ10" s="122">
        <v>162</v>
      </c>
    </row>
    <row r="11" spans="1:52" s="121" customFormat="1" ht="12" customHeight="1">
      <c r="A11" s="121">
        <v>4</v>
      </c>
      <c r="B11" s="128" t="s">
        <v>104</v>
      </c>
      <c r="C11" s="163">
        <v>-325</v>
      </c>
      <c r="D11" s="129">
        <v>75</v>
      </c>
      <c r="E11" s="130">
        <v>30</v>
      </c>
      <c r="F11" s="130">
        <v>20</v>
      </c>
      <c r="G11" s="130">
        <v>20</v>
      </c>
      <c r="H11" s="130">
        <v>20</v>
      </c>
      <c r="I11" s="130">
        <v>18.7</v>
      </c>
      <c r="J11" s="130">
        <v>17.5</v>
      </c>
      <c r="K11" s="130">
        <v>16.4</v>
      </c>
      <c r="L11" s="130">
        <v>16.2</v>
      </c>
      <c r="M11" s="130">
        <v>16</v>
      </c>
      <c r="N11" s="130">
        <v>15.6</v>
      </c>
      <c r="O11" s="130">
        <v>15.2</v>
      </c>
      <c r="P11" s="130">
        <v>14.9</v>
      </c>
      <c r="Q11" s="130">
        <v>14.6</v>
      </c>
      <c r="R11" s="130">
        <v>14.4</v>
      </c>
      <c r="S11" s="130">
        <v>13.8</v>
      </c>
      <c r="T11" s="130">
        <v>12.2</v>
      </c>
      <c r="U11" s="130">
        <v>9.7</v>
      </c>
      <c r="V11" s="130">
        <v>7.7</v>
      </c>
      <c r="W11" s="130">
        <v>6</v>
      </c>
      <c r="X11" s="152">
        <v>4.7</v>
      </c>
      <c r="Y11" s="152">
        <v>3.7</v>
      </c>
      <c r="Z11" s="152">
        <v>2.9</v>
      </c>
      <c r="AA11" s="152">
        <v>2.3</v>
      </c>
      <c r="AB11" s="152">
        <v>1.8</v>
      </c>
      <c r="AC11" s="152">
        <v>1.4</v>
      </c>
      <c r="AD11" s="125" t="s">
        <v>105</v>
      </c>
      <c r="AE11" s="147">
        <v>1</v>
      </c>
      <c r="AF11" s="139" t="s">
        <v>72</v>
      </c>
      <c r="AG11" s="141"/>
      <c r="AH11" s="139" t="s">
        <v>72</v>
      </c>
      <c r="AI11" s="154">
        <v>0.8</v>
      </c>
      <c r="AJ11" s="139" t="s">
        <v>72</v>
      </c>
      <c r="AK11" s="141">
        <v>0.85</v>
      </c>
      <c r="AL11" s="139" t="s">
        <v>72</v>
      </c>
      <c r="AM11" s="154"/>
      <c r="AN11" s="139" t="s">
        <v>72</v>
      </c>
      <c r="AO11" s="141"/>
      <c r="AP11" s="139" t="s">
        <v>72</v>
      </c>
      <c r="AQ11" s="141"/>
      <c r="AR11" s="139" t="s">
        <v>72</v>
      </c>
      <c r="AS11" s="131">
        <v>12.5</v>
      </c>
      <c r="AT11" s="132" t="s">
        <v>75</v>
      </c>
      <c r="AU11" s="131"/>
      <c r="AV11" s="132"/>
      <c r="AW11" s="131"/>
      <c r="AX11" s="132"/>
      <c r="AY11" s="122" t="s">
        <v>142</v>
      </c>
      <c r="AZ11" s="122">
        <v>162</v>
      </c>
    </row>
    <row r="12" spans="1:52" s="121" customFormat="1" ht="12" customHeight="1">
      <c r="A12" s="121">
        <v>5</v>
      </c>
      <c r="B12" s="128" t="s">
        <v>93</v>
      </c>
      <c r="C12" s="163">
        <v>-425</v>
      </c>
      <c r="D12" s="129">
        <v>70</v>
      </c>
      <c r="E12" s="130">
        <v>25</v>
      </c>
      <c r="F12" s="130">
        <v>16.7</v>
      </c>
      <c r="G12" s="130">
        <v>16.7</v>
      </c>
      <c r="H12" s="130">
        <v>16.7</v>
      </c>
      <c r="I12" s="130">
        <v>15.8</v>
      </c>
      <c r="J12" s="130">
        <v>14.8</v>
      </c>
      <c r="K12" s="130">
        <v>14</v>
      </c>
      <c r="L12" s="130">
        <v>13.7</v>
      </c>
      <c r="M12" s="130">
        <v>13.5</v>
      </c>
      <c r="N12" s="130">
        <v>13.3</v>
      </c>
      <c r="O12" s="130">
        <v>13</v>
      </c>
      <c r="P12" s="130">
        <v>12.8</v>
      </c>
      <c r="Q12" s="130">
        <v>11.9</v>
      </c>
      <c r="R12" s="130">
        <v>9.9</v>
      </c>
      <c r="S12" s="130">
        <v>7.8</v>
      </c>
      <c r="T12" s="130">
        <v>6.3</v>
      </c>
      <c r="U12" s="130">
        <v>5.1</v>
      </c>
      <c r="V12" s="130">
        <v>4</v>
      </c>
      <c r="W12" s="130">
        <v>3.2</v>
      </c>
      <c r="X12" s="152">
        <v>2.6</v>
      </c>
      <c r="Y12" s="152">
        <v>2.1</v>
      </c>
      <c r="Z12" s="152">
        <v>1.7</v>
      </c>
      <c r="AA12" s="152">
        <v>1.1</v>
      </c>
      <c r="AB12" s="152">
        <v>1</v>
      </c>
      <c r="AC12" s="152">
        <v>0.9</v>
      </c>
      <c r="AD12" s="125" t="s">
        <v>72</v>
      </c>
      <c r="AE12" s="147">
        <v>1</v>
      </c>
      <c r="AF12" s="139" t="s">
        <v>72</v>
      </c>
      <c r="AG12" s="141"/>
      <c r="AH12" s="139" t="s">
        <v>72</v>
      </c>
      <c r="AI12" s="154">
        <v>0.8</v>
      </c>
      <c r="AJ12" s="139" t="s">
        <v>72</v>
      </c>
      <c r="AK12" s="141">
        <v>0.85</v>
      </c>
      <c r="AL12" s="139" t="s">
        <v>72</v>
      </c>
      <c r="AM12" s="154"/>
      <c r="AN12" s="139" t="s">
        <v>72</v>
      </c>
      <c r="AO12" s="141"/>
      <c r="AP12" s="139" t="s">
        <v>72</v>
      </c>
      <c r="AQ12" s="141"/>
      <c r="AR12" s="139" t="s">
        <v>72</v>
      </c>
      <c r="AS12" s="131">
        <v>12.5</v>
      </c>
      <c r="AT12" s="132" t="s">
        <v>75</v>
      </c>
      <c r="AU12" s="131"/>
      <c r="AV12" s="132"/>
      <c r="AW12" s="131"/>
      <c r="AX12" s="132"/>
      <c r="AY12" s="122" t="s">
        <v>142</v>
      </c>
      <c r="AZ12" s="122">
        <v>158</v>
      </c>
    </row>
    <row r="13" spans="1:52" s="121" customFormat="1" ht="12" customHeight="1">
      <c r="A13" s="121">
        <v>6</v>
      </c>
      <c r="B13" s="128" t="s">
        <v>120</v>
      </c>
      <c r="C13" s="163">
        <v>-425</v>
      </c>
      <c r="D13" s="129">
        <v>75</v>
      </c>
      <c r="E13" s="130">
        <v>30</v>
      </c>
      <c r="F13" s="130">
        <v>20</v>
      </c>
      <c r="G13" s="130">
        <v>20</v>
      </c>
      <c r="H13" s="130">
        <v>20</v>
      </c>
      <c r="I13" s="130">
        <v>19.3</v>
      </c>
      <c r="J13" s="130">
        <v>17.9</v>
      </c>
      <c r="K13" s="130">
        <v>17</v>
      </c>
      <c r="L13" s="130">
        <v>16.7</v>
      </c>
      <c r="M13" s="130">
        <v>16.3</v>
      </c>
      <c r="N13" s="130">
        <v>16.1</v>
      </c>
      <c r="O13" s="130">
        <v>15.9</v>
      </c>
      <c r="P13" s="130">
        <v>15.7</v>
      </c>
      <c r="Q13" s="130">
        <v>15.5</v>
      </c>
      <c r="R13" s="130">
        <v>15.4</v>
      </c>
      <c r="S13" s="130">
        <v>15.3</v>
      </c>
      <c r="T13" s="130">
        <v>14.5</v>
      </c>
      <c r="U13" s="130">
        <v>12.4</v>
      </c>
      <c r="V13" s="130">
        <v>9.8</v>
      </c>
      <c r="W13" s="130">
        <v>7.4</v>
      </c>
      <c r="X13" s="152">
        <v>5.5</v>
      </c>
      <c r="Y13" s="152">
        <v>4.1</v>
      </c>
      <c r="Z13" s="152">
        <v>3.1</v>
      </c>
      <c r="AA13" s="152">
        <v>2.3</v>
      </c>
      <c r="AB13" s="152">
        <v>1.7</v>
      </c>
      <c r="AC13" s="152">
        <v>1.3</v>
      </c>
      <c r="AD13" s="125" t="s">
        <v>106</v>
      </c>
      <c r="AE13" s="147">
        <v>1</v>
      </c>
      <c r="AF13" s="139" t="s">
        <v>72</v>
      </c>
      <c r="AG13" s="141"/>
      <c r="AH13" s="139" t="s">
        <v>72</v>
      </c>
      <c r="AI13" s="154">
        <v>0.8</v>
      </c>
      <c r="AJ13" s="139" t="s">
        <v>72</v>
      </c>
      <c r="AK13" s="141">
        <v>0.85</v>
      </c>
      <c r="AL13" s="139" t="s">
        <v>72</v>
      </c>
      <c r="AM13" s="154"/>
      <c r="AN13" s="139" t="s">
        <v>72</v>
      </c>
      <c r="AO13" s="141"/>
      <c r="AP13" s="139" t="s">
        <v>72</v>
      </c>
      <c r="AQ13" s="141"/>
      <c r="AR13" s="139" t="s">
        <v>72</v>
      </c>
      <c r="AS13" s="131">
        <v>12.5</v>
      </c>
      <c r="AT13" s="132" t="s">
        <v>75</v>
      </c>
      <c r="AU13" s="131"/>
      <c r="AV13" s="132"/>
      <c r="AW13" s="131"/>
      <c r="AX13" s="132"/>
      <c r="AY13" s="122" t="s">
        <v>142</v>
      </c>
      <c r="AZ13" s="122">
        <v>160</v>
      </c>
    </row>
    <row r="14" spans="1:52" s="121" customFormat="1" ht="12" customHeight="1">
      <c r="A14" s="121">
        <v>7</v>
      </c>
      <c r="B14" s="128" t="s">
        <v>121</v>
      </c>
      <c r="C14" s="163">
        <v>-325</v>
      </c>
      <c r="D14" s="129">
        <v>75</v>
      </c>
      <c r="E14" s="130">
        <v>30</v>
      </c>
      <c r="F14" s="130">
        <v>20</v>
      </c>
      <c r="G14" s="130">
        <v>20</v>
      </c>
      <c r="H14" s="130">
        <v>20</v>
      </c>
      <c r="I14" s="130">
        <v>19.3</v>
      </c>
      <c r="J14" s="130">
        <v>17.9</v>
      </c>
      <c r="K14" s="130">
        <v>17</v>
      </c>
      <c r="L14" s="130">
        <v>16.7</v>
      </c>
      <c r="M14" s="130">
        <v>16.3</v>
      </c>
      <c r="N14" s="130">
        <v>16.1</v>
      </c>
      <c r="O14" s="130">
        <v>15.9</v>
      </c>
      <c r="P14" s="130">
        <v>15.7</v>
      </c>
      <c r="Q14" s="130">
        <v>15.5</v>
      </c>
      <c r="R14" s="130">
        <v>15.4</v>
      </c>
      <c r="S14" s="130">
        <v>15.3</v>
      </c>
      <c r="T14" s="130">
        <v>14.5</v>
      </c>
      <c r="U14" s="130">
        <v>12.4</v>
      </c>
      <c r="V14" s="130">
        <v>9.8</v>
      </c>
      <c r="W14" s="130">
        <v>7.4</v>
      </c>
      <c r="X14" s="152">
        <v>5.5</v>
      </c>
      <c r="Y14" s="152">
        <v>4.1</v>
      </c>
      <c r="Z14" s="152">
        <v>3.1</v>
      </c>
      <c r="AA14" s="152">
        <v>2.3</v>
      </c>
      <c r="AB14" s="152">
        <v>1.7</v>
      </c>
      <c r="AC14" s="152">
        <v>1.3</v>
      </c>
      <c r="AD14" s="206" t="s">
        <v>105</v>
      </c>
      <c r="AE14" s="147">
        <v>1</v>
      </c>
      <c r="AF14" s="139" t="s">
        <v>72</v>
      </c>
      <c r="AG14" s="141"/>
      <c r="AH14" s="139" t="s">
        <v>72</v>
      </c>
      <c r="AI14" s="154">
        <v>0.8</v>
      </c>
      <c r="AJ14" s="139" t="s">
        <v>72</v>
      </c>
      <c r="AK14" s="141">
        <v>0.85</v>
      </c>
      <c r="AL14" s="139" t="s">
        <v>72</v>
      </c>
      <c r="AM14" s="154"/>
      <c r="AN14" s="139" t="s">
        <v>72</v>
      </c>
      <c r="AO14" s="141"/>
      <c r="AP14" s="139" t="s">
        <v>72</v>
      </c>
      <c r="AQ14" s="141"/>
      <c r="AR14" s="139" t="s">
        <v>72</v>
      </c>
      <c r="AS14" s="131">
        <v>12.5</v>
      </c>
      <c r="AT14" s="132" t="s">
        <v>75</v>
      </c>
      <c r="AU14" s="131"/>
      <c r="AV14" s="132"/>
      <c r="AW14" s="131"/>
      <c r="AX14" s="132"/>
      <c r="AY14" s="122" t="s">
        <v>142</v>
      </c>
      <c r="AZ14" s="122">
        <v>160</v>
      </c>
    </row>
    <row r="15" spans="1:52" s="121" customFormat="1" ht="12" customHeight="1">
      <c r="A15" s="121">
        <v>8</v>
      </c>
      <c r="B15" s="128" t="s">
        <v>101</v>
      </c>
      <c r="C15" s="163">
        <v>-425</v>
      </c>
      <c r="D15" s="129">
        <v>70</v>
      </c>
      <c r="E15" s="130">
        <v>25</v>
      </c>
      <c r="F15" s="130">
        <v>16.7</v>
      </c>
      <c r="G15" s="130">
        <v>16.7</v>
      </c>
      <c r="H15" s="130">
        <v>16.7</v>
      </c>
      <c r="I15" s="130">
        <v>15.5</v>
      </c>
      <c r="J15" s="130">
        <v>14.4</v>
      </c>
      <c r="K15" s="130">
        <v>13.5</v>
      </c>
      <c r="L15" s="130">
        <v>13.2</v>
      </c>
      <c r="M15" s="130">
        <v>12.9</v>
      </c>
      <c r="N15" s="130">
        <v>12.6</v>
      </c>
      <c r="O15" s="130">
        <v>12.4</v>
      </c>
      <c r="P15" s="130">
        <v>12.1</v>
      </c>
      <c r="Q15" s="130">
        <v>11.8</v>
      </c>
      <c r="R15" s="130">
        <v>11.5</v>
      </c>
      <c r="S15" s="130">
        <v>11.2</v>
      </c>
      <c r="T15" s="130">
        <v>10.8</v>
      </c>
      <c r="U15" s="130">
        <v>10.2</v>
      </c>
      <c r="V15" s="130">
        <v>8.8</v>
      </c>
      <c r="W15" s="130">
        <v>6.4</v>
      </c>
      <c r="X15" s="152">
        <v>4.7</v>
      </c>
      <c r="Y15" s="152">
        <v>3.5</v>
      </c>
      <c r="Z15" s="152">
        <v>2.5</v>
      </c>
      <c r="AA15" s="152">
        <v>1.8</v>
      </c>
      <c r="AB15" s="152">
        <v>1.3</v>
      </c>
      <c r="AC15" s="152">
        <v>1</v>
      </c>
      <c r="AD15" s="125" t="s">
        <v>72</v>
      </c>
      <c r="AE15" s="147">
        <v>1</v>
      </c>
      <c r="AF15" s="139" t="s">
        <v>72</v>
      </c>
      <c r="AG15" s="141"/>
      <c r="AH15" s="139" t="s">
        <v>72</v>
      </c>
      <c r="AI15" s="154">
        <v>0.8</v>
      </c>
      <c r="AJ15" s="139" t="s">
        <v>72</v>
      </c>
      <c r="AK15" s="141">
        <v>0.85</v>
      </c>
      <c r="AL15" s="139" t="s">
        <v>72</v>
      </c>
      <c r="AM15" s="154"/>
      <c r="AN15" s="139" t="s">
        <v>72</v>
      </c>
      <c r="AO15" s="141"/>
      <c r="AP15" s="139" t="s">
        <v>72</v>
      </c>
      <c r="AQ15" s="141"/>
      <c r="AR15" s="139" t="s">
        <v>72</v>
      </c>
      <c r="AS15" s="131">
        <v>12.5</v>
      </c>
      <c r="AT15" s="132" t="s">
        <v>75</v>
      </c>
      <c r="AU15" s="131"/>
      <c r="AV15" s="132"/>
      <c r="AW15" s="131"/>
      <c r="AX15" s="132"/>
      <c r="AY15" s="122" t="s">
        <v>142</v>
      </c>
      <c r="AZ15" s="122">
        <v>158</v>
      </c>
    </row>
    <row r="16" spans="1:52" s="121" customFormat="1" ht="12" customHeight="1">
      <c r="A16" s="121">
        <v>9</v>
      </c>
      <c r="B16" s="128" t="s">
        <v>108</v>
      </c>
      <c r="C16" s="163">
        <v>-425</v>
      </c>
      <c r="D16" s="129">
        <v>75</v>
      </c>
      <c r="E16" s="130">
        <v>30</v>
      </c>
      <c r="F16" s="130">
        <v>20</v>
      </c>
      <c r="G16" s="130">
        <v>20</v>
      </c>
      <c r="H16" s="130">
        <v>20</v>
      </c>
      <c r="I16" s="130">
        <v>20</v>
      </c>
      <c r="J16" s="130">
        <v>19.3</v>
      </c>
      <c r="K16" s="130">
        <v>18.3</v>
      </c>
      <c r="L16" s="130">
        <v>17.9</v>
      </c>
      <c r="M16" s="130">
        <v>17.5</v>
      </c>
      <c r="N16" s="130">
        <v>17.2</v>
      </c>
      <c r="O16" s="130">
        <v>16.9</v>
      </c>
      <c r="P16" s="130">
        <v>16.7</v>
      </c>
      <c r="Q16" s="130">
        <v>16.6</v>
      </c>
      <c r="R16" s="130">
        <v>16.4</v>
      </c>
      <c r="S16" s="130">
        <v>16.2</v>
      </c>
      <c r="T16" s="130">
        <v>9.6</v>
      </c>
      <c r="U16" s="130">
        <v>6.9</v>
      </c>
      <c r="V16" s="130">
        <v>5</v>
      </c>
      <c r="W16" s="130">
        <v>3.6</v>
      </c>
      <c r="X16" s="152">
        <v>2.6</v>
      </c>
      <c r="Y16" s="152">
        <v>1.7</v>
      </c>
      <c r="Z16" s="152">
        <v>1.1</v>
      </c>
      <c r="AA16" s="152">
        <v>0.8</v>
      </c>
      <c r="AB16" s="152">
        <v>0.5</v>
      </c>
      <c r="AC16" s="152">
        <v>0.3</v>
      </c>
      <c r="AD16" s="206" t="s">
        <v>154</v>
      </c>
      <c r="AE16" s="147">
        <v>1</v>
      </c>
      <c r="AF16" s="139" t="s">
        <v>72</v>
      </c>
      <c r="AG16" s="141"/>
      <c r="AH16" s="139" t="s">
        <v>72</v>
      </c>
      <c r="AI16" s="154">
        <v>0.8</v>
      </c>
      <c r="AJ16" s="226" t="s">
        <v>72</v>
      </c>
      <c r="AK16" s="141">
        <v>0.85</v>
      </c>
      <c r="AL16" s="139" t="s">
        <v>72</v>
      </c>
      <c r="AM16" s="154"/>
      <c r="AN16" s="154" t="s">
        <v>72</v>
      </c>
      <c r="AO16" s="141"/>
      <c r="AP16" s="154" t="s">
        <v>72</v>
      </c>
      <c r="AQ16" s="141"/>
      <c r="AR16" s="139" t="s">
        <v>72</v>
      </c>
      <c r="AS16" s="131">
        <v>12.5</v>
      </c>
      <c r="AT16" s="132" t="s">
        <v>75</v>
      </c>
      <c r="AU16" s="131"/>
      <c r="AV16" s="132"/>
      <c r="AW16" s="131"/>
      <c r="AX16" s="132"/>
      <c r="AY16" s="122" t="s">
        <v>142</v>
      </c>
      <c r="AZ16" s="122">
        <v>158</v>
      </c>
    </row>
    <row r="17" spans="1:52" s="121" customFormat="1" ht="12" customHeight="1">
      <c r="A17" s="121">
        <v>10</v>
      </c>
      <c r="B17" s="128" t="s">
        <v>109</v>
      </c>
      <c r="C17" s="163">
        <v>-325</v>
      </c>
      <c r="D17" s="129">
        <v>75</v>
      </c>
      <c r="E17" s="130">
        <v>30</v>
      </c>
      <c r="F17" s="130">
        <v>20</v>
      </c>
      <c r="G17" s="130">
        <v>20</v>
      </c>
      <c r="H17" s="130">
        <v>20</v>
      </c>
      <c r="I17" s="130">
        <v>20</v>
      </c>
      <c r="J17" s="130">
        <v>19.3</v>
      </c>
      <c r="K17" s="130">
        <v>18.3</v>
      </c>
      <c r="L17" s="130">
        <v>17.9</v>
      </c>
      <c r="M17" s="130">
        <v>17.5</v>
      </c>
      <c r="N17" s="130">
        <v>17.2</v>
      </c>
      <c r="O17" s="130">
        <v>16.9</v>
      </c>
      <c r="P17" s="130">
        <v>16.7</v>
      </c>
      <c r="Q17" s="130">
        <v>16.6</v>
      </c>
      <c r="R17" s="130">
        <v>16.4</v>
      </c>
      <c r="S17" s="130">
        <v>16.2</v>
      </c>
      <c r="T17" s="130">
        <v>11.7</v>
      </c>
      <c r="U17" s="130">
        <v>9.1</v>
      </c>
      <c r="V17" s="130">
        <v>6.9</v>
      </c>
      <c r="W17" s="130">
        <v>5.4</v>
      </c>
      <c r="X17" s="152">
        <v>4.1</v>
      </c>
      <c r="Y17" s="152">
        <v>3.2</v>
      </c>
      <c r="Z17" s="152">
        <v>2.5</v>
      </c>
      <c r="AA17" s="152">
        <v>1.9</v>
      </c>
      <c r="AB17" s="152">
        <v>1.5</v>
      </c>
      <c r="AC17" s="152">
        <v>1.1</v>
      </c>
      <c r="AD17" s="125" t="s">
        <v>72</v>
      </c>
      <c r="AE17" s="147">
        <v>1</v>
      </c>
      <c r="AF17" s="139" t="s">
        <v>72</v>
      </c>
      <c r="AG17" s="141"/>
      <c r="AH17" s="139" t="s">
        <v>72</v>
      </c>
      <c r="AI17" s="154">
        <v>0.8</v>
      </c>
      <c r="AJ17" s="226" t="s">
        <v>72</v>
      </c>
      <c r="AK17" s="141">
        <v>0.85</v>
      </c>
      <c r="AL17" s="139" t="s">
        <v>72</v>
      </c>
      <c r="AM17" s="154"/>
      <c r="AN17" s="154" t="s">
        <v>72</v>
      </c>
      <c r="AO17" s="141"/>
      <c r="AP17" s="154" t="s">
        <v>72</v>
      </c>
      <c r="AQ17" s="141"/>
      <c r="AR17" s="144" t="s">
        <v>72</v>
      </c>
      <c r="AS17" s="131">
        <v>12.5</v>
      </c>
      <c r="AT17" s="132" t="s">
        <v>75</v>
      </c>
      <c r="AU17" s="131"/>
      <c r="AV17" s="132"/>
      <c r="AW17" s="131"/>
      <c r="AX17" s="132"/>
      <c r="AY17" s="122" t="s">
        <v>142</v>
      </c>
      <c r="AZ17" s="122">
        <v>160</v>
      </c>
    </row>
    <row r="18" spans="1:52" s="121" customFormat="1" ht="12" customHeight="1">
      <c r="A18" s="121">
        <v>11</v>
      </c>
      <c r="B18" s="122" t="s">
        <v>77</v>
      </c>
      <c r="C18" s="229">
        <v>-150</v>
      </c>
      <c r="D18" s="129">
        <v>65</v>
      </c>
      <c r="E18" s="130">
        <v>35</v>
      </c>
      <c r="F18" s="130">
        <v>21.7</v>
      </c>
      <c r="G18" s="130">
        <v>19.6</v>
      </c>
      <c r="H18" s="130">
        <v>19.6</v>
      </c>
      <c r="I18" s="130">
        <v>18.7</v>
      </c>
      <c r="J18" s="130">
        <v>17.8</v>
      </c>
      <c r="K18" s="130">
        <v>16.8</v>
      </c>
      <c r="L18" s="130">
        <v>16.3</v>
      </c>
      <c r="M18" s="130">
        <v>15.5</v>
      </c>
      <c r="N18" s="130">
        <v>13.9</v>
      </c>
      <c r="O18" s="130">
        <v>11.4</v>
      </c>
      <c r="P18" s="130">
        <v>9</v>
      </c>
      <c r="Q18" s="130">
        <v>6.5</v>
      </c>
      <c r="R18" s="130">
        <v>4.5</v>
      </c>
      <c r="S18" s="130">
        <v>2.5</v>
      </c>
      <c r="T18" s="130">
        <v>1.6</v>
      </c>
      <c r="U18" s="130">
        <v>1</v>
      </c>
      <c r="V18" s="130"/>
      <c r="W18" s="130"/>
      <c r="X18" s="152"/>
      <c r="Y18" s="152"/>
      <c r="Z18" s="152"/>
      <c r="AA18" s="152"/>
      <c r="AB18" s="152"/>
      <c r="AC18" s="152"/>
      <c r="AD18" s="125" t="s">
        <v>72</v>
      </c>
      <c r="AE18" s="147">
        <v>1</v>
      </c>
      <c r="AF18" s="139" t="s">
        <v>72</v>
      </c>
      <c r="AG18" s="141">
        <v>0.85</v>
      </c>
      <c r="AH18" s="139" t="s">
        <v>72</v>
      </c>
      <c r="AI18" s="154"/>
      <c r="AJ18" s="226" t="s">
        <v>72</v>
      </c>
      <c r="AK18" s="141"/>
      <c r="AL18" s="139" t="s">
        <v>72</v>
      </c>
      <c r="AM18" s="154"/>
      <c r="AN18" s="154" t="s">
        <v>72</v>
      </c>
      <c r="AO18" s="141"/>
      <c r="AP18" s="154" t="s">
        <v>72</v>
      </c>
      <c r="AQ18" s="141"/>
      <c r="AR18" s="144" t="s">
        <v>72</v>
      </c>
      <c r="AS18" s="131">
        <v>12.5</v>
      </c>
      <c r="AT18" s="132" t="s">
        <v>75</v>
      </c>
      <c r="AU18" s="131"/>
      <c r="AV18" s="132"/>
      <c r="AW18" s="131"/>
      <c r="AX18" s="132"/>
      <c r="AY18" s="122" t="s">
        <v>141</v>
      </c>
      <c r="AZ18" s="122">
        <v>152</v>
      </c>
    </row>
    <row r="19" spans="1:52" s="121" customFormat="1" ht="12" customHeight="1">
      <c r="A19" s="121">
        <v>12</v>
      </c>
      <c r="B19" s="122" t="s">
        <v>78</v>
      </c>
      <c r="C19" s="229">
        <v>-50</v>
      </c>
      <c r="D19" s="123">
        <v>60</v>
      </c>
      <c r="E19" s="124">
        <v>35</v>
      </c>
      <c r="F19" s="124">
        <v>20</v>
      </c>
      <c r="G19" s="124">
        <v>20</v>
      </c>
      <c r="H19" s="124">
        <v>20</v>
      </c>
      <c r="I19" s="124">
        <v>20</v>
      </c>
      <c r="J19" s="124">
        <v>18.9</v>
      </c>
      <c r="K19" s="124">
        <v>17.3</v>
      </c>
      <c r="L19" s="124">
        <v>17</v>
      </c>
      <c r="M19" s="124">
        <v>16.5</v>
      </c>
      <c r="N19" s="124">
        <v>13</v>
      </c>
      <c r="O19" s="124">
        <v>10.8</v>
      </c>
      <c r="P19" s="124">
        <v>8.7</v>
      </c>
      <c r="Q19" s="124">
        <v>6.5</v>
      </c>
      <c r="R19" s="124">
        <v>4.5</v>
      </c>
      <c r="S19" s="124">
        <v>2.5</v>
      </c>
      <c r="T19" s="124">
        <v>1.6</v>
      </c>
      <c r="U19" s="124">
        <v>1</v>
      </c>
      <c r="V19" s="124"/>
      <c r="W19" s="124"/>
      <c r="X19" s="152"/>
      <c r="Y19" s="152"/>
      <c r="Z19" s="152"/>
      <c r="AA19" s="152"/>
      <c r="AB19" s="152"/>
      <c r="AC19" s="152"/>
      <c r="AD19" s="125" t="s">
        <v>156</v>
      </c>
      <c r="AE19" s="147">
        <v>1</v>
      </c>
      <c r="AF19" s="139" t="s">
        <v>72</v>
      </c>
      <c r="AG19" s="141">
        <v>0.85</v>
      </c>
      <c r="AH19" s="139" t="s">
        <v>72</v>
      </c>
      <c r="AI19" s="154"/>
      <c r="AJ19" s="226" t="s">
        <v>72</v>
      </c>
      <c r="AK19" s="141"/>
      <c r="AL19" s="139" t="s">
        <v>72</v>
      </c>
      <c r="AM19" s="154"/>
      <c r="AN19" s="154" t="s">
        <v>72</v>
      </c>
      <c r="AO19" s="141"/>
      <c r="AP19" s="154" t="s">
        <v>72</v>
      </c>
      <c r="AQ19" s="141"/>
      <c r="AR19" s="144" t="s">
        <v>72</v>
      </c>
      <c r="AS19" s="131">
        <v>12.5</v>
      </c>
      <c r="AT19" s="132" t="s">
        <v>75</v>
      </c>
      <c r="AU19" s="131"/>
      <c r="AV19" s="132"/>
      <c r="AW19" s="131"/>
      <c r="AX19" s="132"/>
      <c r="AY19" s="122" t="s">
        <v>141</v>
      </c>
      <c r="AZ19" s="122">
        <v>142</v>
      </c>
    </row>
    <row r="20" spans="1:52" s="121" customFormat="1" ht="12" customHeight="1">
      <c r="A20" s="121">
        <v>13</v>
      </c>
      <c r="B20" s="122" t="s">
        <v>79</v>
      </c>
      <c r="C20" s="229">
        <v>-150</v>
      </c>
      <c r="D20" s="129">
        <v>65</v>
      </c>
      <c r="E20" s="130">
        <v>35</v>
      </c>
      <c r="F20" s="130">
        <v>21.7</v>
      </c>
      <c r="G20" s="130">
        <v>19.6</v>
      </c>
      <c r="H20" s="130">
        <v>19.6</v>
      </c>
      <c r="I20" s="130">
        <v>18.7</v>
      </c>
      <c r="J20" s="130">
        <v>17.8</v>
      </c>
      <c r="K20" s="130">
        <v>16.8</v>
      </c>
      <c r="L20" s="130">
        <v>16.3</v>
      </c>
      <c r="M20" s="130">
        <v>15.5</v>
      </c>
      <c r="N20" s="130">
        <v>13.9</v>
      </c>
      <c r="O20" s="130">
        <v>11.4</v>
      </c>
      <c r="P20" s="130">
        <v>9</v>
      </c>
      <c r="Q20" s="130">
        <v>6.5</v>
      </c>
      <c r="R20" s="130">
        <v>4.5</v>
      </c>
      <c r="S20" s="130">
        <v>2.5</v>
      </c>
      <c r="T20" s="130">
        <v>1.6</v>
      </c>
      <c r="U20" s="130">
        <v>1</v>
      </c>
      <c r="V20" s="130"/>
      <c r="W20" s="130"/>
      <c r="X20" s="152"/>
      <c r="Y20" s="152"/>
      <c r="Z20" s="152"/>
      <c r="AA20" s="152"/>
      <c r="AB20" s="152"/>
      <c r="AC20" s="152"/>
      <c r="AD20" s="125" t="s">
        <v>72</v>
      </c>
      <c r="AE20" s="147">
        <v>1</v>
      </c>
      <c r="AF20" s="139" t="s">
        <v>72</v>
      </c>
      <c r="AG20" s="141"/>
      <c r="AH20" s="139" t="s">
        <v>72</v>
      </c>
      <c r="AI20" s="154"/>
      <c r="AJ20" s="226" t="s">
        <v>72</v>
      </c>
      <c r="AK20" s="141"/>
      <c r="AL20" s="139" t="s">
        <v>72</v>
      </c>
      <c r="AM20" s="154"/>
      <c r="AN20" s="154" t="s">
        <v>72</v>
      </c>
      <c r="AO20" s="141"/>
      <c r="AP20" s="154" t="s">
        <v>72</v>
      </c>
      <c r="AQ20" s="141"/>
      <c r="AR20" s="144" t="s">
        <v>72</v>
      </c>
      <c r="AS20" s="131">
        <v>12.5</v>
      </c>
      <c r="AT20" s="132" t="s">
        <v>75</v>
      </c>
      <c r="AU20" s="131"/>
      <c r="AV20" s="132"/>
      <c r="AW20" s="131"/>
      <c r="AX20" s="132"/>
      <c r="AY20" s="122" t="s">
        <v>141</v>
      </c>
      <c r="AZ20" s="122">
        <v>152</v>
      </c>
    </row>
    <row r="21" spans="1:52" s="121" customFormat="1" ht="12" customHeight="1">
      <c r="A21" s="121">
        <v>14</v>
      </c>
      <c r="B21" s="122" t="s">
        <v>80</v>
      </c>
      <c r="C21" s="229">
        <v>-50</v>
      </c>
      <c r="D21" s="123">
        <v>60</v>
      </c>
      <c r="E21" s="124">
        <v>35</v>
      </c>
      <c r="F21" s="124">
        <v>20</v>
      </c>
      <c r="G21" s="124">
        <v>20</v>
      </c>
      <c r="H21" s="124">
        <v>20</v>
      </c>
      <c r="I21" s="124">
        <v>20</v>
      </c>
      <c r="J21" s="124">
        <v>18.9</v>
      </c>
      <c r="K21" s="124">
        <v>17.3</v>
      </c>
      <c r="L21" s="124">
        <v>17</v>
      </c>
      <c r="M21" s="124">
        <v>16.5</v>
      </c>
      <c r="N21" s="124">
        <v>13</v>
      </c>
      <c r="O21" s="124">
        <v>10.8</v>
      </c>
      <c r="P21" s="124">
        <v>8.7</v>
      </c>
      <c r="Q21" s="124">
        <v>6.5</v>
      </c>
      <c r="R21" s="124">
        <v>4.5</v>
      </c>
      <c r="S21" s="124">
        <v>2.5</v>
      </c>
      <c r="T21" s="124">
        <v>1.6</v>
      </c>
      <c r="U21" s="124">
        <v>1</v>
      </c>
      <c r="V21" s="124"/>
      <c r="W21" s="124"/>
      <c r="X21" s="152"/>
      <c r="Y21" s="152"/>
      <c r="Z21" s="152"/>
      <c r="AA21" s="152"/>
      <c r="AB21" s="152"/>
      <c r="AC21" s="152"/>
      <c r="AD21" s="125" t="s">
        <v>156</v>
      </c>
      <c r="AE21" s="148">
        <v>1</v>
      </c>
      <c r="AF21" s="140" t="s">
        <v>72</v>
      </c>
      <c r="AG21" s="142"/>
      <c r="AH21" s="140" t="s">
        <v>72</v>
      </c>
      <c r="AI21" s="155"/>
      <c r="AJ21" s="226" t="s">
        <v>72</v>
      </c>
      <c r="AK21" s="142"/>
      <c r="AL21" s="140" t="s">
        <v>72</v>
      </c>
      <c r="AM21" s="155"/>
      <c r="AN21" s="155" t="s">
        <v>72</v>
      </c>
      <c r="AO21" s="142"/>
      <c r="AP21" s="155" t="s">
        <v>72</v>
      </c>
      <c r="AQ21" s="142"/>
      <c r="AR21" s="145" t="s">
        <v>72</v>
      </c>
      <c r="AS21" s="131">
        <v>12.5</v>
      </c>
      <c r="AT21" s="132" t="s">
        <v>75</v>
      </c>
      <c r="AU21" s="131"/>
      <c r="AV21" s="132"/>
      <c r="AW21" s="131"/>
      <c r="AX21" s="132"/>
      <c r="AY21" s="122" t="s">
        <v>141</v>
      </c>
      <c r="AZ21" s="122">
        <v>142</v>
      </c>
    </row>
    <row r="22" spans="1:52" s="121" customFormat="1" ht="12" customHeight="1">
      <c r="A22" s="121">
        <v>15</v>
      </c>
      <c r="B22" s="122" t="s">
        <v>122</v>
      </c>
      <c r="C22" s="163">
        <v>-425</v>
      </c>
      <c r="D22" s="129">
        <v>75</v>
      </c>
      <c r="E22" s="130">
        <v>30</v>
      </c>
      <c r="F22" s="130">
        <v>20</v>
      </c>
      <c r="G22" s="130">
        <v>20</v>
      </c>
      <c r="H22" s="130">
        <v>20</v>
      </c>
      <c r="I22" s="130">
        <v>18.7</v>
      </c>
      <c r="J22" s="130">
        <v>17.5</v>
      </c>
      <c r="K22" s="130">
        <v>16.4</v>
      </c>
      <c r="L22" s="130">
        <v>16.2</v>
      </c>
      <c r="M22" s="130">
        <v>16</v>
      </c>
      <c r="N22" s="130">
        <v>15.6</v>
      </c>
      <c r="O22" s="130">
        <v>15.2</v>
      </c>
      <c r="P22" s="130">
        <v>14.9</v>
      </c>
      <c r="Q22" s="130">
        <v>14.6</v>
      </c>
      <c r="R22" s="130">
        <v>14.4</v>
      </c>
      <c r="S22" s="130">
        <v>13.8</v>
      </c>
      <c r="T22" s="130">
        <v>12.2</v>
      </c>
      <c r="U22" s="130">
        <v>9.7</v>
      </c>
      <c r="V22" s="130">
        <v>7.7</v>
      </c>
      <c r="W22" s="130">
        <v>6</v>
      </c>
      <c r="X22" s="152">
        <v>4.7</v>
      </c>
      <c r="Y22" s="152">
        <v>3.7</v>
      </c>
      <c r="Z22" s="152">
        <v>2.9</v>
      </c>
      <c r="AA22" s="152">
        <v>2.3</v>
      </c>
      <c r="AB22" s="152">
        <v>1.8</v>
      </c>
      <c r="AC22" s="152">
        <v>1.4</v>
      </c>
      <c r="AD22" s="206" t="s">
        <v>153</v>
      </c>
      <c r="AE22" s="147"/>
      <c r="AF22" s="139" t="s">
        <v>72</v>
      </c>
      <c r="AG22" s="141"/>
      <c r="AH22" s="139" t="s">
        <v>72</v>
      </c>
      <c r="AI22" s="154"/>
      <c r="AJ22" s="139" t="s">
        <v>72</v>
      </c>
      <c r="AK22" s="141">
        <v>0.85</v>
      </c>
      <c r="AL22" s="150" t="s">
        <v>98</v>
      </c>
      <c r="AM22" s="154">
        <v>1</v>
      </c>
      <c r="AN22" s="157" t="s">
        <v>99</v>
      </c>
      <c r="AO22" s="141">
        <v>0.9</v>
      </c>
      <c r="AP22" s="157" t="s">
        <v>100</v>
      </c>
      <c r="AQ22" s="141"/>
      <c r="AR22" s="139" t="s">
        <v>72</v>
      </c>
      <c r="AS22" s="131">
        <v>0.01</v>
      </c>
      <c r="AT22" s="132" t="s">
        <v>91</v>
      </c>
      <c r="AU22" s="131"/>
      <c r="AV22" s="132"/>
      <c r="AW22" s="131"/>
      <c r="AX22" s="132"/>
      <c r="AY22" s="122" t="s">
        <v>142</v>
      </c>
      <c r="AZ22" s="122">
        <v>162</v>
      </c>
    </row>
    <row r="23" spans="1:52" s="121" customFormat="1" ht="12" customHeight="1">
      <c r="A23" s="121">
        <v>16</v>
      </c>
      <c r="B23" s="122" t="s">
        <v>94</v>
      </c>
      <c r="C23" s="163">
        <v>-425</v>
      </c>
      <c r="D23" s="129">
        <v>70</v>
      </c>
      <c r="E23" s="130">
        <v>25</v>
      </c>
      <c r="F23" s="130">
        <v>16.7</v>
      </c>
      <c r="G23" s="130">
        <v>16.7</v>
      </c>
      <c r="H23" s="130">
        <v>16.7</v>
      </c>
      <c r="I23" s="130">
        <v>15.8</v>
      </c>
      <c r="J23" s="130">
        <v>14.8</v>
      </c>
      <c r="K23" s="130">
        <v>14</v>
      </c>
      <c r="L23" s="130">
        <v>13.7</v>
      </c>
      <c r="M23" s="130">
        <v>13.5</v>
      </c>
      <c r="N23" s="130">
        <v>13.3</v>
      </c>
      <c r="O23" s="130">
        <v>13</v>
      </c>
      <c r="P23" s="130">
        <v>12.8</v>
      </c>
      <c r="Q23" s="130">
        <v>11.9</v>
      </c>
      <c r="R23" s="130">
        <v>9.9</v>
      </c>
      <c r="S23" s="130">
        <v>7.8</v>
      </c>
      <c r="T23" s="130">
        <v>6.3</v>
      </c>
      <c r="U23" s="130">
        <v>5.1</v>
      </c>
      <c r="V23" s="130">
        <v>4</v>
      </c>
      <c r="W23" s="130">
        <v>3.2</v>
      </c>
      <c r="X23" s="152">
        <v>2.6</v>
      </c>
      <c r="Y23" s="152">
        <v>2.1</v>
      </c>
      <c r="Z23" s="152">
        <v>1.7</v>
      </c>
      <c r="AA23" s="152">
        <v>1.1</v>
      </c>
      <c r="AB23" s="152">
        <v>1</v>
      </c>
      <c r="AC23" s="152">
        <v>0.9</v>
      </c>
      <c r="AD23" s="125" t="s">
        <v>95</v>
      </c>
      <c r="AE23" s="147"/>
      <c r="AF23" s="139" t="s">
        <v>72</v>
      </c>
      <c r="AG23" s="141"/>
      <c r="AH23" s="139" t="s">
        <v>72</v>
      </c>
      <c r="AI23" s="154"/>
      <c r="AJ23" s="226" t="s">
        <v>72</v>
      </c>
      <c r="AK23" s="141">
        <v>0.85</v>
      </c>
      <c r="AL23" s="150" t="s">
        <v>98</v>
      </c>
      <c r="AM23" s="154">
        <v>1</v>
      </c>
      <c r="AN23" s="157" t="s">
        <v>99</v>
      </c>
      <c r="AO23" s="141">
        <v>0.9</v>
      </c>
      <c r="AP23" s="157" t="s">
        <v>100</v>
      </c>
      <c r="AQ23" s="141"/>
      <c r="AR23" s="144" t="s">
        <v>72</v>
      </c>
      <c r="AS23" s="131">
        <v>0.01</v>
      </c>
      <c r="AT23" s="132" t="s">
        <v>91</v>
      </c>
      <c r="AU23" s="131"/>
      <c r="AV23" s="132"/>
      <c r="AW23" s="131"/>
      <c r="AX23" s="132"/>
      <c r="AY23" s="122" t="s">
        <v>142</v>
      </c>
      <c r="AZ23" s="122">
        <v>158</v>
      </c>
    </row>
    <row r="24" spans="1:52" s="121" customFormat="1" ht="12" customHeight="1">
      <c r="A24" s="121">
        <v>17</v>
      </c>
      <c r="B24" s="122" t="s">
        <v>123</v>
      </c>
      <c r="C24" s="163">
        <v>-425</v>
      </c>
      <c r="D24" s="129">
        <v>75</v>
      </c>
      <c r="E24" s="130">
        <v>30</v>
      </c>
      <c r="F24" s="130">
        <v>20</v>
      </c>
      <c r="G24" s="130">
        <v>20</v>
      </c>
      <c r="H24" s="130">
        <v>20</v>
      </c>
      <c r="I24" s="130">
        <v>19.3</v>
      </c>
      <c r="J24" s="130">
        <v>17.9</v>
      </c>
      <c r="K24" s="130">
        <v>17</v>
      </c>
      <c r="L24" s="130">
        <v>16.7</v>
      </c>
      <c r="M24" s="130">
        <v>16.3</v>
      </c>
      <c r="N24" s="130">
        <v>16.1</v>
      </c>
      <c r="O24" s="130">
        <v>15.9</v>
      </c>
      <c r="P24" s="130">
        <v>15.7</v>
      </c>
      <c r="Q24" s="130">
        <v>15.5</v>
      </c>
      <c r="R24" s="130">
        <v>15.4</v>
      </c>
      <c r="S24" s="130">
        <v>15.3</v>
      </c>
      <c r="T24" s="130">
        <v>14.5</v>
      </c>
      <c r="U24" s="130">
        <v>12.4</v>
      </c>
      <c r="V24" s="130">
        <v>9.8</v>
      </c>
      <c r="W24" s="130">
        <v>7.4</v>
      </c>
      <c r="X24" s="152">
        <v>5.5</v>
      </c>
      <c r="Y24" s="152">
        <v>4.1</v>
      </c>
      <c r="Z24" s="152">
        <v>3.1</v>
      </c>
      <c r="AA24" s="152">
        <v>2.3</v>
      </c>
      <c r="AB24" s="152">
        <v>1.7</v>
      </c>
      <c r="AC24" s="152">
        <v>1.3</v>
      </c>
      <c r="AD24" s="206" t="s">
        <v>148</v>
      </c>
      <c r="AE24" s="147"/>
      <c r="AF24" s="139" t="s">
        <v>72</v>
      </c>
      <c r="AG24" s="141"/>
      <c r="AH24" s="139" t="s">
        <v>72</v>
      </c>
      <c r="AI24" s="154"/>
      <c r="AJ24" s="226" t="s">
        <v>72</v>
      </c>
      <c r="AK24" s="141">
        <v>0.85</v>
      </c>
      <c r="AL24" s="150" t="s">
        <v>98</v>
      </c>
      <c r="AM24" s="154">
        <v>1</v>
      </c>
      <c r="AN24" s="157" t="s">
        <v>99</v>
      </c>
      <c r="AO24" s="141">
        <v>0.9</v>
      </c>
      <c r="AP24" s="157" t="s">
        <v>100</v>
      </c>
      <c r="AQ24" s="141"/>
      <c r="AR24" s="144" t="s">
        <v>72</v>
      </c>
      <c r="AS24" s="131">
        <v>0.01</v>
      </c>
      <c r="AT24" s="132" t="s">
        <v>91</v>
      </c>
      <c r="AU24" s="131"/>
      <c r="AV24" s="132"/>
      <c r="AW24" s="131"/>
      <c r="AX24" s="132"/>
      <c r="AY24" s="122" t="s">
        <v>142</v>
      </c>
      <c r="AZ24" s="122">
        <v>160</v>
      </c>
    </row>
    <row r="25" spans="1:52" s="121" customFormat="1" ht="12" customHeight="1">
      <c r="A25" s="121">
        <v>18</v>
      </c>
      <c r="B25" s="122" t="s">
        <v>124</v>
      </c>
      <c r="C25" s="163">
        <v>-425</v>
      </c>
      <c r="D25" s="129">
        <v>70</v>
      </c>
      <c r="E25" s="130">
        <v>25</v>
      </c>
      <c r="F25" s="130">
        <v>16.7</v>
      </c>
      <c r="G25" s="130">
        <v>16.7</v>
      </c>
      <c r="H25" s="130">
        <v>16.7</v>
      </c>
      <c r="I25" s="130">
        <v>15.5</v>
      </c>
      <c r="J25" s="130">
        <v>14.4</v>
      </c>
      <c r="K25" s="130">
        <v>13.5</v>
      </c>
      <c r="L25" s="130">
        <v>13.2</v>
      </c>
      <c r="M25" s="130">
        <v>12.9</v>
      </c>
      <c r="N25" s="130">
        <v>12.6</v>
      </c>
      <c r="O25" s="130">
        <v>12.4</v>
      </c>
      <c r="P25" s="130">
        <v>12.1</v>
      </c>
      <c r="Q25" s="130">
        <v>11.8</v>
      </c>
      <c r="R25" s="130">
        <v>11.5</v>
      </c>
      <c r="S25" s="130">
        <v>11.2</v>
      </c>
      <c r="T25" s="130">
        <v>10.8</v>
      </c>
      <c r="U25" s="130">
        <v>10.2</v>
      </c>
      <c r="V25" s="130">
        <v>8.8</v>
      </c>
      <c r="W25" s="130">
        <v>6.4</v>
      </c>
      <c r="X25" s="152">
        <v>4.7</v>
      </c>
      <c r="Y25" s="152">
        <v>3.5</v>
      </c>
      <c r="Z25" s="152">
        <v>2.5</v>
      </c>
      <c r="AA25" s="152">
        <v>1.8</v>
      </c>
      <c r="AB25" s="152">
        <v>1.3</v>
      </c>
      <c r="AC25" s="152">
        <v>1</v>
      </c>
      <c r="AD25" s="206" t="s">
        <v>155</v>
      </c>
      <c r="AE25" s="147"/>
      <c r="AF25" s="139" t="s">
        <v>72</v>
      </c>
      <c r="AG25" s="141"/>
      <c r="AH25" s="139" t="s">
        <v>72</v>
      </c>
      <c r="AI25" s="154"/>
      <c r="AJ25" s="226" t="s">
        <v>72</v>
      </c>
      <c r="AK25" s="141">
        <v>0.85</v>
      </c>
      <c r="AL25" s="150" t="s">
        <v>98</v>
      </c>
      <c r="AM25" s="154">
        <v>1</v>
      </c>
      <c r="AN25" s="157" t="s">
        <v>99</v>
      </c>
      <c r="AO25" s="141">
        <v>0.9</v>
      </c>
      <c r="AP25" s="157" t="s">
        <v>100</v>
      </c>
      <c r="AQ25" s="141"/>
      <c r="AR25" s="139" t="s">
        <v>72</v>
      </c>
      <c r="AS25" s="131">
        <v>0.01</v>
      </c>
      <c r="AT25" s="132" t="s">
        <v>75</v>
      </c>
      <c r="AU25" s="131"/>
      <c r="AV25" s="132"/>
      <c r="AW25" s="131"/>
      <c r="AX25" s="132"/>
      <c r="AY25" s="122" t="s">
        <v>142</v>
      </c>
      <c r="AZ25" s="122">
        <v>158</v>
      </c>
    </row>
    <row r="26" spans="1:52" s="121" customFormat="1" ht="12" customHeight="1">
      <c r="A26" s="121">
        <v>19</v>
      </c>
      <c r="B26" s="122" t="s">
        <v>90</v>
      </c>
      <c r="C26" s="162">
        <v>-20</v>
      </c>
      <c r="D26" s="123">
        <v>60</v>
      </c>
      <c r="E26" s="124">
        <v>32</v>
      </c>
      <c r="F26" s="124">
        <v>20</v>
      </c>
      <c r="G26" s="124">
        <v>19.5</v>
      </c>
      <c r="H26" s="124">
        <v>18.9</v>
      </c>
      <c r="I26" s="124">
        <v>18.3</v>
      </c>
      <c r="J26" s="124">
        <v>17.3</v>
      </c>
      <c r="K26" s="124">
        <v>15.8</v>
      </c>
      <c r="L26" s="124">
        <v>15.5</v>
      </c>
      <c r="M26" s="124">
        <v>14.4</v>
      </c>
      <c r="N26" s="124">
        <v>13</v>
      </c>
      <c r="O26" s="124">
        <v>10.8</v>
      </c>
      <c r="P26" s="124">
        <v>8.7</v>
      </c>
      <c r="Q26" s="124">
        <v>6.5</v>
      </c>
      <c r="R26" s="124">
        <v>4.5</v>
      </c>
      <c r="S26" s="124">
        <v>2.5</v>
      </c>
      <c r="T26" s="124">
        <v>1.6</v>
      </c>
      <c r="U26" s="124">
        <v>1</v>
      </c>
      <c r="V26" s="124"/>
      <c r="W26" s="124"/>
      <c r="X26" s="152"/>
      <c r="Y26" s="152"/>
      <c r="Z26" s="152"/>
      <c r="AA26" s="152"/>
      <c r="AB26" s="152"/>
      <c r="AC26" s="152"/>
      <c r="AD26" s="206" t="s">
        <v>157</v>
      </c>
      <c r="AE26" s="147"/>
      <c r="AF26" s="139" t="s">
        <v>72</v>
      </c>
      <c r="AG26" s="141"/>
      <c r="AH26" s="139" t="s">
        <v>72</v>
      </c>
      <c r="AI26" s="154"/>
      <c r="AJ26" s="226" t="s">
        <v>72</v>
      </c>
      <c r="AK26" s="141">
        <v>1</v>
      </c>
      <c r="AL26" s="150" t="s">
        <v>92</v>
      </c>
      <c r="AM26" s="157"/>
      <c r="AN26" s="157" t="s">
        <v>72</v>
      </c>
      <c r="AO26" s="141"/>
      <c r="AP26" s="157" t="s">
        <v>72</v>
      </c>
      <c r="AQ26" s="141"/>
      <c r="AR26" s="144" t="s">
        <v>72</v>
      </c>
      <c r="AS26" s="131">
        <v>0.01</v>
      </c>
      <c r="AT26" s="132" t="s">
        <v>91</v>
      </c>
      <c r="AU26" s="131"/>
      <c r="AV26" s="132"/>
      <c r="AW26" s="131"/>
      <c r="AX26" s="132"/>
      <c r="AY26" s="122" t="s">
        <v>143</v>
      </c>
      <c r="AZ26" s="122">
        <v>142</v>
      </c>
    </row>
    <row r="27" spans="1:52" s="121" customFormat="1" ht="12" customHeight="1">
      <c r="A27" s="121">
        <v>20</v>
      </c>
      <c r="B27" s="122" t="s">
        <v>110</v>
      </c>
      <c r="C27" s="162">
        <v>-60</v>
      </c>
      <c r="D27" s="123">
        <v>90</v>
      </c>
      <c r="E27" s="124">
        <v>65</v>
      </c>
      <c r="F27" s="124">
        <v>30</v>
      </c>
      <c r="G27" s="124">
        <v>30</v>
      </c>
      <c r="H27" s="124">
        <v>28.9</v>
      </c>
      <c r="I27" s="124">
        <v>27.9</v>
      </c>
      <c r="J27" s="124">
        <v>27.2</v>
      </c>
      <c r="K27" s="124">
        <v>26.9</v>
      </c>
      <c r="L27" s="124"/>
      <c r="M27" s="124"/>
      <c r="N27" s="124"/>
      <c r="O27" s="124"/>
      <c r="P27" s="124"/>
      <c r="Q27" s="124"/>
      <c r="R27" s="124"/>
      <c r="S27" s="124"/>
      <c r="T27" s="124"/>
      <c r="U27" s="124"/>
      <c r="V27" s="124"/>
      <c r="W27" s="124"/>
      <c r="X27" s="152"/>
      <c r="Y27" s="152"/>
      <c r="Z27" s="152"/>
      <c r="AA27" s="152"/>
      <c r="AB27" s="152"/>
      <c r="AC27" s="152"/>
      <c r="AD27" s="125" t="s">
        <v>111</v>
      </c>
      <c r="AE27" s="147">
        <v>1</v>
      </c>
      <c r="AF27" s="139" t="s">
        <v>72</v>
      </c>
      <c r="AG27" s="141"/>
      <c r="AH27" s="139" t="s">
        <v>72</v>
      </c>
      <c r="AI27" s="154">
        <v>0.8</v>
      </c>
      <c r="AJ27" s="226" t="s">
        <v>72</v>
      </c>
      <c r="AK27" s="141">
        <v>0.85</v>
      </c>
      <c r="AL27" s="150" t="s">
        <v>72</v>
      </c>
      <c r="AM27" s="154">
        <v>1</v>
      </c>
      <c r="AN27" s="157" t="s">
        <v>72</v>
      </c>
      <c r="AO27" s="141"/>
      <c r="AP27" s="157" t="s">
        <v>72</v>
      </c>
      <c r="AQ27" s="141"/>
      <c r="AR27" s="144" t="s">
        <v>72</v>
      </c>
      <c r="AS27" s="131">
        <v>12.5</v>
      </c>
      <c r="AT27" s="132" t="s">
        <v>75</v>
      </c>
      <c r="AU27" s="131"/>
      <c r="AV27" s="132"/>
      <c r="AW27" s="131"/>
      <c r="AX27" s="132"/>
      <c r="AY27" s="122" t="s">
        <v>143</v>
      </c>
      <c r="AZ27" s="122">
        <v>162</v>
      </c>
    </row>
    <row r="28" spans="1:52" s="121" customFormat="1" ht="12" customHeight="1">
      <c r="A28" s="121">
        <v>21</v>
      </c>
      <c r="B28" s="122" t="s">
        <v>170</v>
      </c>
      <c r="C28" s="162">
        <v>-20</v>
      </c>
      <c r="D28" s="123">
        <v>60</v>
      </c>
      <c r="E28" s="124">
        <v>35</v>
      </c>
      <c r="F28" s="124">
        <v>20</v>
      </c>
      <c r="G28" s="124">
        <v>20</v>
      </c>
      <c r="H28" s="124">
        <v>20</v>
      </c>
      <c r="I28" s="124">
        <v>20</v>
      </c>
      <c r="J28" s="124">
        <v>18.9</v>
      </c>
      <c r="K28" s="124">
        <v>17.3</v>
      </c>
      <c r="L28" s="124">
        <v>17</v>
      </c>
      <c r="M28" s="124">
        <v>16.5</v>
      </c>
      <c r="N28" s="124">
        <v>13</v>
      </c>
      <c r="O28" s="124">
        <v>10.8</v>
      </c>
      <c r="P28" s="124">
        <v>8.7</v>
      </c>
      <c r="Q28" s="124">
        <v>6.5</v>
      </c>
      <c r="R28" s="124">
        <v>4.5</v>
      </c>
      <c r="S28" s="124">
        <v>2.5</v>
      </c>
      <c r="T28" s="124">
        <v>1.6</v>
      </c>
      <c r="U28" s="124">
        <v>1</v>
      </c>
      <c r="V28" s="124"/>
      <c r="W28" s="124"/>
      <c r="X28" s="152"/>
      <c r="Y28" s="152"/>
      <c r="Z28" s="152"/>
      <c r="AA28" s="152"/>
      <c r="AB28" s="152"/>
      <c r="AC28" s="152"/>
      <c r="AD28" s="206" t="s">
        <v>158</v>
      </c>
      <c r="AE28" s="147">
        <v>1</v>
      </c>
      <c r="AF28" s="139" t="s">
        <v>72</v>
      </c>
      <c r="AG28" s="141">
        <v>0.85</v>
      </c>
      <c r="AH28" s="139" t="s">
        <v>72</v>
      </c>
      <c r="AI28" s="154"/>
      <c r="AJ28" s="226" t="s">
        <v>72</v>
      </c>
      <c r="AK28" s="141">
        <v>0.95</v>
      </c>
      <c r="AL28" s="139" t="s">
        <v>72</v>
      </c>
      <c r="AM28" s="154"/>
      <c r="AN28" s="154" t="s">
        <v>72</v>
      </c>
      <c r="AO28" s="141"/>
      <c r="AP28" s="154" t="s">
        <v>72</v>
      </c>
      <c r="AQ28" s="141">
        <v>0.6</v>
      </c>
      <c r="AR28" s="144" t="s">
        <v>72</v>
      </c>
      <c r="AS28" s="131">
        <v>12.5</v>
      </c>
      <c r="AT28" s="132" t="s">
        <v>75</v>
      </c>
      <c r="AU28" s="131"/>
      <c r="AV28" s="132"/>
      <c r="AW28" s="131"/>
      <c r="AX28" s="132"/>
      <c r="AY28" s="122" t="s">
        <v>141</v>
      </c>
      <c r="AZ28" s="122">
        <v>142</v>
      </c>
    </row>
    <row r="29" spans="1:52" s="121" customFormat="1" ht="12" customHeight="1">
      <c r="A29" s="121">
        <v>22</v>
      </c>
      <c r="B29" s="122" t="s">
        <v>171</v>
      </c>
      <c r="C29" s="162">
        <v>-20</v>
      </c>
      <c r="D29" s="123">
        <v>60</v>
      </c>
      <c r="E29" s="124">
        <v>35</v>
      </c>
      <c r="F29" s="124">
        <v>20</v>
      </c>
      <c r="G29" s="124">
        <v>20</v>
      </c>
      <c r="H29" s="124">
        <v>20</v>
      </c>
      <c r="I29" s="124">
        <v>20</v>
      </c>
      <c r="J29" s="124">
        <v>18.9</v>
      </c>
      <c r="K29" s="124">
        <v>17.3</v>
      </c>
      <c r="L29" s="124">
        <v>17</v>
      </c>
      <c r="M29" s="124">
        <v>16.5</v>
      </c>
      <c r="N29" s="124">
        <v>13</v>
      </c>
      <c r="O29" s="124">
        <v>10.8</v>
      </c>
      <c r="P29" s="124">
        <v>8.7</v>
      </c>
      <c r="Q29" s="124">
        <v>6.5</v>
      </c>
      <c r="R29" s="124">
        <v>4.5</v>
      </c>
      <c r="S29" s="124">
        <v>2.5</v>
      </c>
      <c r="T29" s="124">
        <v>1.6</v>
      </c>
      <c r="U29" s="124">
        <v>1</v>
      </c>
      <c r="V29" s="124"/>
      <c r="W29" s="124"/>
      <c r="X29" s="152"/>
      <c r="Y29" s="152"/>
      <c r="Z29" s="152"/>
      <c r="AA29" s="152"/>
      <c r="AB29" s="152"/>
      <c r="AC29" s="152"/>
      <c r="AD29" s="206" t="s">
        <v>158</v>
      </c>
      <c r="AE29" s="147">
        <v>1</v>
      </c>
      <c r="AF29" s="139" t="s">
        <v>72</v>
      </c>
      <c r="AG29" s="141">
        <v>0.85</v>
      </c>
      <c r="AH29" s="139" t="s">
        <v>72</v>
      </c>
      <c r="AI29" s="154"/>
      <c r="AJ29" s="226" t="s">
        <v>72</v>
      </c>
      <c r="AK29" s="141">
        <v>0.95</v>
      </c>
      <c r="AL29" s="139" t="s">
        <v>72</v>
      </c>
      <c r="AM29" s="154"/>
      <c r="AN29" s="154" t="s">
        <v>72</v>
      </c>
      <c r="AO29" s="141"/>
      <c r="AP29" s="154" t="s">
        <v>72</v>
      </c>
      <c r="AQ29" s="141">
        <v>0.6</v>
      </c>
      <c r="AR29" s="144" t="s">
        <v>72</v>
      </c>
      <c r="AS29" s="131">
        <v>8</v>
      </c>
      <c r="AT29" s="132" t="s">
        <v>75</v>
      </c>
      <c r="AU29" s="131"/>
      <c r="AV29" s="132"/>
      <c r="AW29" s="131"/>
      <c r="AX29" s="132"/>
      <c r="AY29" s="122" t="s">
        <v>141</v>
      </c>
      <c r="AZ29" s="122">
        <v>142</v>
      </c>
    </row>
    <row r="30" spans="1:52" s="121" customFormat="1" ht="12" customHeight="1">
      <c r="A30" s="121">
        <v>23</v>
      </c>
      <c r="B30" s="122" t="s">
        <v>163</v>
      </c>
      <c r="C30" s="163">
        <v>-325</v>
      </c>
      <c r="D30" s="123">
        <v>70</v>
      </c>
      <c r="E30" s="124">
        <v>28</v>
      </c>
      <c r="F30" s="124">
        <v>18.7</v>
      </c>
      <c r="G30" s="124">
        <v>16.4</v>
      </c>
      <c r="H30" s="124">
        <v>15.4</v>
      </c>
      <c r="I30" s="124">
        <v>14.8</v>
      </c>
      <c r="J30" s="124">
        <v>14.8</v>
      </c>
      <c r="K30" s="124">
        <v>14.8</v>
      </c>
      <c r="L30" s="124">
        <v>14.8</v>
      </c>
      <c r="M30" s="124">
        <v>14.8</v>
      </c>
      <c r="N30" s="124">
        <v>14.6</v>
      </c>
      <c r="O30" s="124">
        <v>14.2</v>
      </c>
      <c r="P30" s="124">
        <v>11</v>
      </c>
      <c r="Q30" s="124">
        <v>8</v>
      </c>
      <c r="R30" s="124"/>
      <c r="S30" s="124"/>
      <c r="T30" s="124"/>
      <c r="U30" s="124"/>
      <c r="V30" s="124"/>
      <c r="W30" s="124"/>
      <c r="X30" s="152"/>
      <c r="Y30" s="152"/>
      <c r="Z30" s="152"/>
      <c r="AA30" s="152"/>
      <c r="AB30" s="152"/>
      <c r="AC30" s="152"/>
      <c r="AD30" s="206" t="s">
        <v>165</v>
      </c>
      <c r="AE30" s="147">
        <v>1</v>
      </c>
      <c r="AF30" s="139" t="s">
        <v>72</v>
      </c>
      <c r="AG30" s="141"/>
      <c r="AH30" s="139" t="s">
        <v>72</v>
      </c>
      <c r="AI30" s="154"/>
      <c r="AJ30" s="226" t="s">
        <v>72</v>
      </c>
      <c r="AK30" s="141"/>
      <c r="AL30" s="139" t="s">
        <v>72</v>
      </c>
      <c r="AM30" s="154"/>
      <c r="AN30" s="154" t="s">
        <v>72</v>
      </c>
      <c r="AO30" s="141"/>
      <c r="AP30" s="154" t="s">
        <v>72</v>
      </c>
      <c r="AQ30" s="141"/>
      <c r="AR30" s="144" t="s">
        <v>72</v>
      </c>
      <c r="AS30" s="131">
        <v>12.5</v>
      </c>
      <c r="AT30" s="132" t="s">
        <v>75</v>
      </c>
      <c r="AU30" s="131"/>
      <c r="AV30" s="132"/>
      <c r="AW30" s="131"/>
      <c r="AX30" s="132"/>
      <c r="AY30" s="122" t="s">
        <v>143</v>
      </c>
      <c r="AZ30" s="122">
        <v>174</v>
      </c>
    </row>
    <row r="31" spans="1:52" s="121" customFormat="1" ht="12" customHeight="1">
      <c r="A31" s="121">
        <v>24</v>
      </c>
      <c r="B31" s="122" t="s">
        <v>164</v>
      </c>
      <c r="C31" s="163">
        <v>-325</v>
      </c>
      <c r="D31" s="123">
        <v>70</v>
      </c>
      <c r="E31" s="124">
        <v>25</v>
      </c>
      <c r="F31" s="124">
        <v>16.7</v>
      </c>
      <c r="G31" s="124">
        <v>14.7</v>
      </c>
      <c r="H31" s="124">
        <v>13.7</v>
      </c>
      <c r="I31" s="124">
        <v>13.2</v>
      </c>
      <c r="J31" s="124">
        <v>13.2</v>
      </c>
      <c r="K31" s="124">
        <v>13.2</v>
      </c>
      <c r="L31" s="124">
        <v>13.2</v>
      </c>
      <c r="M31" s="124">
        <v>13.2</v>
      </c>
      <c r="N31" s="124">
        <v>13</v>
      </c>
      <c r="O31" s="124">
        <v>12.7</v>
      </c>
      <c r="P31" s="124">
        <v>11.8</v>
      </c>
      <c r="Q31" s="124">
        <v>8</v>
      </c>
      <c r="R31" s="124"/>
      <c r="S31" s="124"/>
      <c r="T31" s="124"/>
      <c r="U31" s="124"/>
      <c r="V31" s="124"/>
      <c r="W31" s="124"/>
      <c r="X31" s="152"/>
      <c r="Y31" s="152"/>
      <c r="Z31" s="152"/>
      <c r="AA31" s="152"/>
      <c r="AB31" s="152"/>
      <c r="AC31" s="152"/>
      <c r="AD31" s="206" t="s">
        <v>162</v>
      </c>
      <c r="AE31" s="147">
        <v>1</v>
      </c>
      <c r="AF31" s="139" t="s">
        <v>72</v>
      </c>
      <c r="AG31" s="141"/>
      <c r="AH31" s="139" t="s">
        <v>72</v>
      </c>
      <c r="AI31" s="154"/>
      <c r="AJ31" s="226" t="s">
        <v>72</v>
      </c>
      <c r="AK31" s="141"/>
      <c r="AL31" s="139" t="s">
        <v>72</v>
      </c>
      <c r="AM31" s="154"/>
      <c r="AN31" s="154" t="s">
        <v>72</v>
      </c>
      <c r="AO31" s="141"/>
      <c r="AP31" s="154" t="s">
        <v>72</v>
      </c>
      <c r="AQ31" s="141"/>
      <c r="AR31" s="144" t="s">
        <v>72</v>
      </c>
      <c r="AS31" s="131">
        <v>12.5</v>
      </c>
      <c r="AT31" s="132" t="s">
        <v>75</v>
      </c>
      <c r="AU31" s="131"/>
      <c r="AV31" s="132"/>
      <c r="AW31" s="131"/>
      <c r="AX31" s="132"/>
      <c r="AY31" s="122" t="s">
        <v>143</v>
      </c>
      <c r="AZ31" s="122">
        <v>174</v>
      </c>
    </row>
    <row r="32" spans="1:52" s="121" customFormat="1" ht="12" customHeight="1">
      <c r="A32" s="121">
        <v>25</v>
      </c>
      <c r="B32" s="122" t="s">
        <v>167</v>
      </c>
      <c r="C32" s="163">
        <v>-325</v>
      </c>
      <c r="D32" s="123">
        <v>80</v>
      </c>
      <c r="E32" s="124">
        <v>35</v>
      </c>
      <c r="F32" s="124">
        <v>23.3</v>
      </c>
      <c r="G32" s="124">
        <v>23.3</v>
      </c>
      <c r="H32" s="124">
        <v>23.3</v>
      </c>
      <c r="I32" s="124">
        <v>23.3</v>
      </c>
      <c r="J32" s="124">
        <v>23.3</v>
      </c>
      <c r="K32" s="124">
        <v>23.3</v>
      </c>
      <c r="L32" s="124">
        <v>23.3</v>
      </c>
      <c r="M32" s="124">
        <v>23.3</v>
      </c>
      <c r="N32" s="124">
        <v>23.3</v>
      </c>
      <c r="O32" s="124">
        <v>23.3</v>
      </c>
      <c r="P32" s="124">
        <v>20</v>
      </c>
      <c r="Q32" s="124">
        <v>16</v>
      </c>
      <c r="R32" s="124">
        <v>10.6</v>
      </c>
      <c r="S32" s="124">
        <v>7</v>
      </c>
      <c r="T32" s="124">
        <v>4.5</v>
      </c>
      <c r="U32" s="124">
        <v>3</v>
      </c>
      <c r="V32" s="124">
        <v>2.2</v>
      </c>
      <c r="W32" s="124">
        <v>2</v>
      </c>
      <c r="X32" s="152"/>
      <c r="Y32" s="152"/>
      <c r="Z32" s="152"/>
      <c r="AA32" s="152"/>
      <c r="AB32" s="152"/>
      <c r="AC32" s="152"/>
      <c r="AD32" s="206" t="s">
        <v>169</v>
      </c>
      <c r="AE32" s="147">
        <v>1</v>
      </c>
      <c r="AF32" s="139" t="s">
        <v>72</v>
      </c>
      <c r="AG32" s="141"/>
      <c r="AH32" s="139" t="s">
        <v>72</v>
      </c>
      <c r="AI32" s="154"/>
      <c r="AJ32" s="226" t="s">
        <v>72</v>
      </c>
      <c r="AK32" s="141"/>
      <c r="AL32" s="139" t="s">
        <v>72</v>
      </c>
      <c r="AM32" s="154"/>
      <c r="AN32" s="154" t="s">
        <v>72</v>
      </c>
      <c r="AO32" s="141"/>
      <c r="AP32" s="154" t="s">
        <v>72</v>
      </c>
      <c r="AQ32" s="141"/>
      <c r="AR32" s="144" t="s">
        <v>72</v>
      </c>
      <c r="AS32" s="131">
        <v>12.5</v>
      </c>
      <c r="AT32" s="132" t="s">
        <v>75</v>
      </c>
      <c r="AU32" s="131"/>
      <c r="AV32" s="132"/>
      <c r="AW32" s="131"/>
      <c r="AX32" s="132"/>
      <c r="AY32" s="122" t="s">
        <v>143</v>
      </c>
      <c r="AZ32" s="122">
        <v>174</v>
      </c>
    </row>
    <row r="33" spans="1:52" s="121" customFormat="1" ht="12" customHeight="1">
      <c r="A33" s="121">
        <v>27</v>
      </c>
      <c r="B33" s="122" t="s">
        <v>168</v>
      </c>
      <c r="C33" s="163">
        <v>-325</v>
      </c>
      <c r="D33" s="123">
        <v>75</v>
      </c>
      <c r="E33" s="124">
        <v>25</v>
      </c>
      <c r="F33" s="124">
        <v>16.7</v>
      </c>
      <c r="G33" s="124">
        <v>16.7</v>
      </c>
      <c r="H33" s="124">
        <v>16.7</v>
      </c>
      <c r="I33" s="124">
        <v>16.7</v>
      </c>
      <c r="J33" s="124">
        <v>16.7</v>
      </c>
      <c r="K33" s="124">
        <v>16.7</v>
      </c>
      <c r="L33" s="124">
        <v>16.7</v>
      </c>
      <c r="M33" s="124">
        <v>16.7</v>
      </c>
      <c r="N33" s="124">
        <v>16.7</v>
      </c>
      <c r="O33" s="124">
        <v>16.7</v>
      </c>
      <c r="P33" s="124">
        <v>16.5</v>
      </c>
      <c r="Q33" s="124">
        <v>15.9</v>
      </c>
      <c r="R33" s="124">
        <v>15.9</v>
      </c>
      <c r="S33" s="124">
        <v>7</v>
      </c>
      <c r="T33" s="124">
        <v>4.5</v>
      </c>
      <c r="U33" s="124">
        <v>3</v>
      </c>
      <c r="V33" s="124">
        <v>2.2</v>
      </c>
      <c r="W33" s="124">
        <v>2</v>
      </c>
      <c r="X33" s="152"/>
      <c r="Y33" s="152"/>
      <c r="Z33" s="152"/>
      <c r="AA33" s="152"/>
      <c r="AB33" s="152"/>
      <c r="AC33" s="152"/>
      <c r="AD33" s="206" t="s">
        <v>166</v>
      </c>
      <c r="AE33" s="147">
        <v>1</v>
      </c>
      <c r="AF33" s="139" t="s">
        <v>72</v>
      </c>
      <c r="AG33" s="141"/>
      <c r="AH33" s="139" t="s">
        <v>72</v>
      </c>
      <c r="AI33" s="154"/>
      <c r="AJ33" s="226" t="s">
        <v>72</v>
      </c>
      <c r="AK33" s="141"/>
      <c r="AL33" s="139" t="s">
        <v>72</v>
      </c>
      <c r="AM33" s="154"/>
      <c r="AN33" s="154" t="s">
        <v>72</v>
      </c>
      <c r="AO33" s="141"/>
      <c r="AP33" s="154" t="s">
        <v>72</v>
      </c>
      <c r="AQ33" s="141"/>
      <c r="AR33" s="144" t="s">
        <v>72</v>
      </c>
      <c r="AS33" s="131">
        <v>12.5</v>
      </c>
      <c r="AT33" s="132" t="s">
        <v>75</v>
      </c>
      <c r="AU33" s="131"/>
      <c r="AV33" s="132"/>
      <c r="AW33" s="131"/>
      <c r="AX33" s="132"/>
      <c r="AY33" s="122" t="s">
        <v>143</v>
      </c>
      <c r="AZ33" s="122">
        <v>174</v>
      </c>
    </row>
    <row r="34" spans="1:52" s="121" customFormat="1" ht="12" customHeight="1">
      <c r="A34" s="121">
        <v>28</v>
      </c>
      <c r="B34" s="122" t="s">
        <v>160</v>
      </c>
      <c r="C34" s="163">
        <v>-325</v>
      </c>
      <c r="D34" s="232">
        <v>100</v>
      </c>
      <c r="E34" s="124">
        <v>41</v>
      </c>
      <c r="F34" s="124">
        <v>27.3</v>
      </c>
      <c r="G34" s="124">
        <v>27.3</v>
      </c>
      <c r="H34" s="124">
        <v>27.3</v>
      </c>
      <c r="I34" s="124">
        <v>27.3</v>
      </c>
      <c r="J34" s="124">
        <v>26.9</v>
      </c>
      <c r="K34" s="124">
        <v>25.4</v>
      </c>
      <c r="L34" s="124">
        <v>24.7</v>
      </c>
      <c r="M34" s="124">
        <v>24</v>
      </c>
      <c r="N34" s="124">
        <v>23.5</v>
      </c>
      <c r="O34" s="124">
        <v>23</v>
      </c>
      <c r="P34" s="124">
        <v>22.6</v>
      </c>
      <c r="Q34" s="124">
        <v>22.3</v>
      </c>
      <c r="R34" s="124">
        <v>22.1</v>
      </c>
      <c r="S34" s="124">
        <v>21.8</v>
      </c>
      <c r="T34" s="124">
        <v>18.5</v>
      </c>
      <c r="U34" s="124">
        <v>15</v>
      </c>
      <c r="V34" s="124">
        <v>12.2</v>
      </c>
      <c r="W34" s="124">
        <v>9.8</v>
      </c>
      <c r="X34" s="152">
        <v>7.8</v>
      </c>
      <c r="Y34" s="152"/>
      <c r="Z34" s="152"/>
      <c r="AA34" s="152"/>
      <c r="AB34" s="152"/>
      <c r="AC34" s="152"/>
      <c r="AD34" s="125" t="s">
        <v>161</v>
      </c>
      <c r="AE34" s="147"/>
      <c r="AF34" s="139" t="s">
        <v>72</v>
      </c>
      <c r="AG34" s="141">
        <v>0.85</v>
      </c>
      <c r="AH34" s="139" t="s">
        <v>72</v>
      </c>
      <c r="AI34" s="154">
        <v>0.8</v>
      </c>
      <c r="AJ34" s="226" t="s">
        <v>72</v>
      </c>
      <c r="AK34" s="141">
        <v>0.85</v>
      </c>
      <c r="AL34" s="139" t="s">
        <v>72</v>
      </c>
      <c r="AM34" s="154"/>
      <c r="AN34" s="154" t="s">
        <v>72</v>
      </c>
      <c r="AO34" s="141"/>
      <c r="AP34" s="154" t="s">
        <v>72</v>
      </c>
      <c r="AQ34" s="141"/>
      <c r="AR34" s="144" t="s">
        <v>72</v>
      </c>
      <c r="AS34" s="131">
        <v>12.5</v>
      </c>
      <c r="AT34" s="132" t="s">
        <v>75</v>
      </c>
      <c r="AU34" s="131"/>
      <c r="AV34" s="132"/>
      <c r="AW34" s="131"/>
      <c r="AX34" s="132"/>
      <c r="AY34" s="122" t="s">
        <v>143</v>
      </c>
      <c r="AZ34" s="122">
        <v>176</v>
      </c>
    </row>
    <row r="35" spans="2:52" s="121" customFormat="1" ht="12" customHeight="1">
      <c r="B35" s="122"/>
      <c r="C35" s="124"/>
      <c r="D35" s="123"/>
      <c r="E35" s="124"/>
      <c r="F35" s="124"/>
      <c r="G35" s="124"/>
      <c r="H35" s="124"/>
      <c r="I35" s="124"/>
      <c r="J35" s="124"/>
      <c r="K35" s="124"/>
      <c r="L35" s="124"/>
      <c r="M35" s="124"/>
      <c r="N35" s="124"/>
      <c r="O35" s="124"/>
      <c r="P35" s="124"/>
      <c r="Q35" s="124"/>
      <c r="R35" s="124"/>
      <c r="S35" s="124"/>
      <c r="T35" s="124"/>
      <c r="U35" s="124"/>
      <c r="V35" s="124"/>
      <c r="W35" s="124"/>
      <c r="X35" s="152"/>
      <c r="Y35" s="152"/>
      <c r="Z35" s="152"/>
      <c r="AA35" s="152"/>
      <c r="AB35" s="152"/>
      <c r="AC35" s="152"/>
      <c r="AD35" s="125"/>
      <c r="AE35" s="147"/>
      <c r="AF35" s="139"/>
      <c r="AG35" s="141"/>
      <c r="AH35" s="139"/>
      <c r="AI35" s="154"/>
      <c r="AJ35" s="226"/>
      <c r="AK35" s="141"/>
      <c r="AL35" s="139"/>
      <c r="AM35" s="154"/>
      <c r="AN35" s="154"/>
      <c r="AO35" s="141"/>
      <c r="AP35" s="154"/>
      <c r="AQ35" s="141"/>
      <c r="AR35" s="144"/>
      <c r="AS35" s="131"/>
      <c r="AT35" s="132"/>
      <c r="AU35" s="131"/>
      <c r="AV35" s="132"/>
      <c r="AW35" s="131"/>
      <c r="AX35" s="132"/>
      <c r="AY35" s="122"/>
      <c r="AZ35" s="122"/>
    </row>
    <row r="36" ht="12" customHeight="1"/>
    <row r="37" ht="12" customHeight="1"/>
    <row r="38" ht="12" customHeight="1"/>
    <row r="39" ht="12" customHeight="1"/>
    <row r="40" ht="12" customHeight="1"/>
    <row r="41" ht="12" customHeight="1"/>
    <row r="42" ht="12" customHeight="1"/>
    <row r="43" ht="12" customHeight="1"/>
  </sheetData>
  <sheetProtection password="C420" sheet="1" objects="1" scenarios="1" selectLockedCells="1"/>
  <mergeCells count="22">
    <mergeCell ref="AW7:AX7"/>
    <mergeCell ref="AQ6:AR7"/>
    <mergeCell ref="AI6:AJ7"/>
    <mergeCell ref="AG6:AH7"/>
    <mergeCell ref="B5:B6"/>
    <mergeCell ref="AZ5:AZ7"/>
    <mergeCell ref="AY5:AY7"/>
    <mergeCell ref="E5:E6"/>
    <mergeCell ref="AE6:AF7"/>
    <mergeCell ref="AS5:AX5"/>
    <mergeCell ref="AS6:AT7"/>
    <mergeCell ref="AE5:AR5"/>
    <mergeCell ref="C5:C7"/>
    <mergeCell ref="AU7:AV7"/>
    <mergeCell ref="AU6:AX6"/>
    <mergeCell ref="B2:H3"/>
    <mergeCell ref="AO6:AP7"/>
    <mergeCell ref="AM6:AN7"/>
    <mergeCell ref="AK6:AL7"/>
    <mergeCell ref="AD5:AD7"/>
    <mergeCell ref="D5:D6"/>
    <mergeCell ref="F5:AC6"/>
  </mergeCells>
  <conditionalFormatting sqref="AD1:AD5 BA1:IV65536 AE1:AZ28 AD8:AD28 A29:AZ65536 A1:A28 J1:AC28 B4:I28">
    <cfRule type="cellIs" priority="1" dxfId="0" operator="equal" stopIfTrue="1">
      <formula>" "</formula>
    </cfRule>
  </conditionalFormatting>
  <printOptions gridLines="1" headings="1" horizontalCentered="1"/>
  <pageMargins left="0.1968503937007874" right="0.1968503937007874" top="1.1811023622047245" bottom="0.5905511811023623" header="0.5118110236220472" footer="0.5118110236220472"/>
  <pageSetup fitToHeight="1" fitToWidth="1" horizontalDpi="600" verticalDpi="6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 Instalações Industriais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H.Garcia</dc:creator>
  <cp:keywords/>
  <dc:description/>
  <cp:lastModifiedBy>Patty</cp:lastModifiedBy>
  <cp:lastPrinted>2007-04-12T11:32:56Z</cp:lastPrinted>
  <dcterms:created xsi:type="dcterms:W3CDTF">1999-12-23T16:40:59Z</dcterms:created>
  <dcterms:modified xsi:type="dcterms:W3CDTF">2015-12-17T16:51:52Z</dcterms:modified>
  <cp:category/>
  <cp:version/>
  <cp:contentType/>
  <cp:contentStatus/>
</cp:coreProperties>
</file>